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61" yWindow="2265" windowWidth="18975" windowHeight="6225" activeTab="0"/>
  </bookViews>
  <sheets>
    <sheet name="釣合計算" sheetId="1" r:id="rId1"/>
    <sheet name="係数" sheetId="2" r:id="rId2"/>
    <sheet name="係数計算例" sheetId="3" r:id="rId3"/>
  </sheets>
  <definedNames>
    <definedName name="⊿xce">'釣合計算'!$L$25</definedName>
    <definedName name="⊿zce">'釣合計算'!$L$24</definedName>
    <definedName name="Ａ">'釣合計算'!$I$7</definedName>
    <definedName name="airco">'釣合計算'!$L$20</definedName>
    <definedName name="alpha">'釣合計算'!$C$12</definedName>
    <definedName name="cdpara">'釣合計算'!$I$21</definedName>
    <definedName name="Ckδ">'釣合計算'!$L$15</definedName>
    <definedName name="CNδ">'釣合計算'!$N$15</definedName>
    <definedName name="CrewK">'釣合計算'!$D$30</definedName>
    <definedName name="D">'釣合計算'!$I$6</definedName>
    <definedName name="deda">'釣合計算'!#REF!</definedName>
    <definedName name="disp">'釣合計算'!$I$4</definedName>
    <definedName name="epsron">'釣合計算'!#REF!</definedName>
    <definedName name="GM">'釣合計算'!$D$24</definedName>
    <definedName name="Gxce">'釣合計算'!$M$5</definedName>
    <definedName name="Gzce">'釣合計算'!$M$6</definedName>
    <definedName name="hg">'釣合計算'!#REF!</definedName>
    <definedName name="hnw">'釣合計算'!$I$20</definedName>
    <definedName name="KH">'釣合計算'!$H$29</definedName>
    <definedName name="KH0">'釣合計算'!$H$24</definedName>
    <definedName name="KHheel">'釣合計算'!$D$26</definedName>
    <definedName name="KS">'釣合計算'!$L$29</definedName>
    <definedName name="Ks0">'釣合計算'!$L$24</definedName>
    <definedName name="Kvφφ">'釣合計算'!$L$12</definedName>
    <definedName name="Kβ">'釣合計算'!$L$8</definedName>
    <definedName name="Kβββ">'釣合計算'!$L$10</definedName>
    <definedName name="Kδ">'釣合計算'!$L$11</definedName>
    <definedName name="Kφ">'釣合計算'!$L$9</definedName>
    <definedName name="Kφφφ">'釣合計算'!$L$13</definedName>
    <definedName name="L">'釣合計算'!$I$5</definedName>
    <definedName name="lhg">'釣合計算'!$I$5</definedName>
    <definedName name="lhnw">'釣合計算'!$I$33</definedName>
    <definedName name="lt">'釣合計算'!#REF!</definedName>
    <definedName name="mass">'釣合計算'!$I$4</definedName>
    <definedName name="NH">'釣合計算'!$H$30</definedName>
    <definedName name="NH0">'釣合計算'!$H$25</definedName>
    <definedName name="NS">'釣合計算'!$L$30</definedName>
    <definedName name="Ns0">'釣合計算'!$L$25</definedName>
    <definedName name="Nvφφ">'釣合計算'!$N$12</definedName>
    <definedName name="Nβ">'釣合計算'!$N$8</definedName>
    <definedName name="Nβββ">'釣合計算'!$N$10</definedName>
    <definedName name="Nδ">'釣合計算'!$N$11</definedName>
    <definedName name="Nφ">'釣合計算'!$N$9</definedName>
    <definedName name="Nφφφ">'釣合計算'!$N$13</definedName>
    <definedName name="Powerdown">'釣合計算'!$E$12</definedName>
    <definedName name="rho">'釣合計算'!$M$2</definedName>
    <definedName name="rhow">'釣合計算'!$I$2</definedName>
    <definedName name="RT">'釣合計算'!$H$19</definedName>
    <definedName name="S">'釣合計算'!$M$4</definedName>
    <definedName name="solver_adj" localSheetId="0" hidden="1">'釣合計算'!$C$7:$C$10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</definedName>
    <definedName name="solver_lhs1" localSheetId="0" hidden="1">'釣合計算'!$C$7</definedName>
    <definedName name="solver_lhs2" localSheetId="0" hidden="1">'釣合計算'!$C$9</definedName>
    <definedName name="solver_lhs3" localSheetId="0" hidden="1">'釣合計算'!$C$10</definedName>
    <definedName name="solver_lhs4" localSheetId="0" hidden="1">'釣合計算'!$C$10</definedName>
    <definedName name="solver_lhs5" localSheetId="0" hidden="1">'釣合計算'!$C$8</definedName>
    <definedName name="solver_lhs6" localSheetId="0" hidden="1">'釣合計算'!$C$8</definedName>
    <definedName name="solver_lhs7" localSheetId="0" hidden="1">'釣合計算'!$C$9</definedName>
    <definedName name="solver_lhs8" localSheetId="0" hidden="1">'釣合計算'!$C$7</definedName>
    <definedName name="solver_lin" localSheetId="0" hidden="1">2</definedName>
    <definedName name="solver_neg" localSheetId="0" hidden="1">2</definedName>
    <definedName name="solver_num" localSheetId="0" hidden="1">8</definedName>
    <definedName name="solver_nwt" localSheetId="0" hidden="1">1</definedName>
    <definedName name="solver_opt" localSheetId="0" hidden="1">'釣合計算'!$B$24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1</definedName>
    <definedName name="solver_rhs1" localSheetId="0" hidden="1">0</definedName>
    <definedName name="solver_rhs2" localSheetId="0" hidden="1">-40</definedName>
    <definedName name="solver_rhs3" localSheetId="0" hidden="1">50</definedName>
    <definedName name="solver_rhs4" localSheetId="0" hidden="1">-50</definedName>
    <definedName name="solver_rhs5" localSheetId="0" hidden="1">20</definedName>
    <definedName name="solver_rhs6" localSheetId="0" hidden="1">-20</definedName>
    <definedName name="solver_rhs7" localSheetId="0" hidden="1">40</definedName>
    <definedName name="solver_rhs8" localSheetId="0" hidden="1">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0.01</definedName>
    <definedName name="t3slope">'釣合計算'!#REF!</definedName>
    <definedName name="talpha">'釣合計算'!#REF!</definedName>
    <definedName name="tarea">'釣合計算'!#REF!</definedName>
    <definedName name="taspect">'釣合計算'!#REF!</definedName>
    <definedName name="tcd0">'釣合計算'!#REF!</definedName>
    <definedName name="tcdi">'釣合計算'!$M$30</definedName>
    <definedName name="tcdo">'釣合計算'!#REF!</definedName>
    <definedName name="tcdt">'釣合計算'!$M$31</definedName>
    <definedName name="tchord">'釣合計算'!$M$9</definedName>
    <definedName name="tcl">'釣合計算'!#REF!</definedName>
    <definedName name="tcmac">'釣合計算'!#REF!</definedName>
    <definedName name="tdrag">'釣合計算'!$M$33</definedName>
    <definedName name="thrust">'釣合計算'!$M$4</definedName>
    <definedName name="tlift">'釣合計算'!#REF!</definedName>
    <definedName name="tmac">'釣合計算'!#REF!</definedName>
    <definedName name="tsetang">'釣合計算'!$M$10</definedName>
    <definedName name="tspan">'釣合計算'!$M$8</definedName>
    <definedName name="Txce">'釣合計算'!$P$5</definedName>
    <definedName name="tzerolift">'釣合計算'!$M$17</definedName>
    <definedName name="u">'釣合計算'!$C$7</definedName>
    <definedName name="UA">'釣合計算'!$L$18</definedName>
    <definedName name="UT">'釣合計算'!$C$4</definedName>
    <definedName name="v">'釣合計算'!$C$13</definedName>
    <definedName name="v0">'釣合計算'!$C$14</definedName>
    <definedName name="VB">'釣合計算'!$C$15</definedName>
    <definedName name="vel">'釣合計算'!$C$15</definedName>
    <definedName name="VH">'釣合計算'!$M$28</definedName>
    <definedName name="w3slope">'釣合計算'!#REF!</definedName>
    <definedName name="walpha">'釣合計算'!#REF!</definedName>
    <definedName name="warea">'釣合計算'!#REF!</definedName>
    <definedName name="waspect">'釣合計算'!#REF!</definedName>
    <definedName name="waterco">'釣合計算'!$H$20</definedName>
    <definedName name="wcd0">'釣合計算'!$M$18</definedName>
    <definedName name="wcdi">'釣合計算'!$I$30</definedName>
    <definedName name="wcdo">'釣合計算'!$M$18</definedName>
    <definedName name="wcdt">'釣合計算'!$I$31</definedName>
    <definedName name="wchord">'釣合計算'!$I$9</definedName>
    <definedName name="wcl">'釣合計算'!#REF!</definedName>
    <definedName name="wcmac">'釣合計算'!#REF!</definedName>
    <definedName name="wdrag">'釣合計算'!$I$32</definedName>
    <definedName name="wlift">'釣合計算'!#REF!</definedName>
    <definedName name="wmac">'釣合計算'!$I$34</definedName>
    <definedName name="wsetang">'釣合計算'!$I$10</definedName>
    <definedName name="wspan">'釣合計算'!$I$8</definedName>
    <definedName name="wzerolift">'釣合計算'!$I$17</definedName>
    <definedName name="XH">'釣合計算'!$H$27</definedName>
    <definedName name="XH0">'釣合計算'!$H$22</definedName>
    <definedName name="XS">'釣合計算'!$L$27</definedName>
    <definedName name="Xs0">'釣合計算'!$L$22</definedName>
    <definedName name="Xββ">'釣合計算'!$H$8</definedName>
    <definedName name="Xδ">'釣合計算'!$H$32</definedName>
    <definedName name="Xδδ">'釣合計算'!$H$11</definedName>
    <definedName name="Xφφ">'釣合計算'!$H$9</definedName>
    <definedName name="YH">'釣合計算'!$H$28</definedName>
    <definedName name="YH0">'釣合計算'!$H$23</definedName>
    <definedName name="YS">'釣合計算'!$L$28</definedName>
    <definedName name="Ys0">'釣合計算'!$L$23</definedName>
    <definedName name="Yvφφ">'釣合計算'!$J$12</definedName>
    <definedName name="Yβ">'釣合計算'!$J$8</definedName>
    <definedName name="Yβββ">'釣合計算'!$J$10</definedName>
    <definedName name="Ｙδ">'釣合計算'!$J$11</definedName>
    <definedName name="Yφ">'釣合計算'!$J$9</definedName>
    <definedName name="Yφφφ">'釣合計算'!$J$13</definedName>
    <definedName name="zce">'釣合計算'!$M$5</definedName>
    <definedName name="αR">'釣合計算'!$D$35</definedName>
    <definedName name="β">'釣合計算'!$C$8</definedName>
    <definedName name="γA">'釣合計算'!$M$19</definedName>
    <definedName name="γｒ">'釣合計算'!$D$33</definedName>
    <definedName name="γT">'釣合計算'!$C$5</definedName>
    <definedName name="δ">'釣合計算'!$C$9</definedName>
    <definedName name="φ">'釣合計算'!$C$10</definedName>
    <definedName name="φrad">'釣合計算'!$C$11</definedName>
  </definedNames>
  <calcPr fullCalcOnLoad="1"/>
</workbook>
</file>

<file path=xl/sharedStrings.xml><?xml version="1.0" encoding="utf-8"?>
<sst xmlns="http://schemas.openxmlformats.org/spreadsheetml/2006/main" count="236" uniqueCount="202">
  <si>
    <t>諸元</t>
  </si>
  <si>
    <t>kg</t>
  </si>
  <si>
    <t>m/s</t>
  </si>
  <si>
    <t>m</t>
  </si>
  <si>
    <t>空気密度</t>
  </si>
  <si>
    <t>rho＝</t>
  </si>
  <si>
    <t>kg/m^3</t>
  </si>
  <si>
    <t>ｘ方向速度</t>
  </si>
  <si>
    <t>u=</t>
  </si>
  <si>
    <t>合成速度</t>
  </si>
  <si>
    <t>Ｘ力</t>
  </si>
  <si>
    <t>合計</t>
  </si>
  <si>
    <t>m/s</t>
  </si>
  <si>
    <t>N-m</t>
  </si>
  <si>
    <t>m2</t>
  </si>
  <si>
    <t>ＶB(m/s)</t>
  </si>
  <si>
    <t>D(kgf)</t>
  </si>
  <si>
    <t>gammaa</t>
  </si>
  <si>
    <t>CX</t>
  </si>
  <si>
    <t>CY</t>
  </si>
  <si>
    <t>セール流体力係数</t>
  </si>
  <si>
    <t>リーウェイ角</t>
  </si>
  <si>
    <t>ヒール角</t>
  </si>
  <si>
    <t>β=</t>
  </si>
  <si>
    <t>φ=</t>
  </si>
  <si>
    <t>deg</t>
  </si>
  <si>
    <t>水密度</t>
  </si>
  <si>
    <t>rhow＝</t>
  </si>
  <si>
    <t>排水量</t>
  </si>
  <si>
    <t>セール面積</t>
  </si>
  <si>
    <t>S=</t>
  </si>
  <si>
    <t>喫水線長さ</t>
  </si>
  <si>
    <t>L=</t>
  </si>
  <si>
    <t>喫水深さ</t>
  </si>
  <si>
    <t>D=</t>
  </si>
  <si>
    <t>Xφφ=</t>
  </si>
  <si>
    <t>Yφ=</t>
  </si>
  <si>
    <t>Kφ=</t>
  </si>
  <si>
    <t>UT=</t>
  </si>
  <si>
    <t>γT=</t>
  </si>
  <si>
    <t>UA=</t>
  </si>
  <si>
    <t>VB=</t>
  </si>
  <si>
    <t>m/s</t>
  </si>
  <si>
    <t>γA=</t>
  </si>
  <si>
    <t>airco=</t>
  </si>
  <si>
    <t>waterco=</t>
  </si>
  <si>
    <t>m</t>
  </si>
  <si>
    <t>XH=</t>
  </si>
  <si>
    <t>RT=</t>
  </si>
  <si>
    <t>kgf</t>
  </si>
  <si>
    <t>N</t>
  </si>
  <si>
    <t>Xs0=</t>
  </si>
  <si>
    <t>Ys0=</t>
  </si>
  <si>
    <t>XS=</t>
  </si>
  <si>
    <t>YH=</t>
  </si>
  <si>
    <t>KH=</t>
  </si>
  <si>
    <t>YS=</t>
  </si>
  <si>
    <t>KS=</t>
  </si>
  <si>
    <t>disp=</t>
  </si>
  <si>
    <t>Y力</t>
  </si>
  <si>
    <t>Kモーメント</t>
  </si>
  <si>
    <t>直立直進抵抗</t>
  </si>
  <si>
    <t>相対風</t>
  </si>
  <si>
    <t>kt</t>
  </si>
  <si>
    <t>船体に働く力</t>
  </si>
  <si>
    <t>セールに働く力</t>
  </si>
  <si>
    <t>N</t>
  </si>
  <si>
    <t>Nφ=</t>
  </si>
  <si>
    <t>船体流体力微係数</t>
  </si>
  <si>
    <t>NS=</t>
  </si>
  <si>
    <t>横流れ速度</t>
  </si>
  <si>
    <t>v=</t>
  </si>
  <si>
    <t>rad</t>
  </si>
  <si>
    <t>NH=</t>
  </si>
  <si>
    <t>舵角</t>
  </si>
  <si>
    <t>δ=</t>
  </si>
  <si>
    <t>Ｎモーメント</t>
  </si>
  <si>
    <t>残差</t>
  </si>
  <si>
    <t>船体に働く流体力係数</t>
  </si>
  <si>
    <t>XH0=</t>
  </si>
  <si>
    <t>YH0=</t>
  </si>
  <si>
    <t>KH0=</t>
  </si>
  <si>
    <t>NH0=</t>
  </si>
  <si>
    <t>基準横流れ速度</t>
  </si>
  <si>
    <t>v0=</t>
  </si>
  <si>
    <t>by Masuyama</t>
  </si>
  <si>
    <t>VBAによる帆走性能表</t>
  </si>
  <si>
    <r>
      <t>X</t>
    </r>
    <r>
      <rPr>
        <sz val="11"/>
        <rFont val="ＭＳ Ｐゴシック"/>
        <family val="0"/>
      </rPr>
      <t>ββ</t>
    </r>
    <r>
      <rPr>
        <sz val="11"/>
        <rFont val="ＭＳ Ｐゴシック"/>
        <family val="0"/>
      </rPr>
      <t>=</t>
    </r>
  </si>
  <si>
    <t>Xδδ=</t>
  </si>
  <si>
    <t>Yβ=</t>
  </si>
  <si>
    <t>m （ＷＬから上）</t>
  </si>
  <si>
    <t>水線下側面積</t>
  </si>
  <si>
    <t>Ａ=</t>
  </si>
  <si>
    <t>m2</t>
  </si>
  <si>
    <t>Yβββ=</t>
  </si>
  <si>
    <t>Kβ=</t>
  </si>
  <si>
    <t>Kβββ=</t>
  </si>
  <si>
    <t>Nβ=</t>
  </si>
  <si>
    <t>Nβββ=</t>
  </si>
  <si>
    <t>-</t>
  </si>
  <si>
    <t>Yδ=</t>
  </si>
  <si>
    <t>Kδ=</t>
  </si>
  <si>
    <t>Nδ=</t>
  </si>
  <si>
    <t>VB [m/s]</t>
  </si>
  <si>
    <t>deg</t>
  </si>
  <si>
    <t>ソルバーとVBA使用</t>
  </si>
  <si>
    <t>真風向</t>
  </si>
  <si>
    <t>(deg)</t>
  </si>
  <si>
    <t>X軸方向速度</t>
  </si>
  <si>
    <t>(m/s)</t>
  </si>
  <si>
    <t>リーウェイ角</t>
  </si>
  <si>
    <t>舵角</t>
  </si>
  <si>
    <t>艇速</t>
  </si>
  <si>
    <t>(knot)</t>
  </si>
  <si>
    <t>γT+β</t>
  </si>
  <si>
    <t>相対風速</t>
  </si>
  <si>
    <t>相対風向</t>
  </si>
  <si>
    <t>VB/UT</t>
  </si>
  <si>
    <t>セール推進力</t>
  </si>
  <si>
    <t>(N)</t>
  </si>
  <si>
    <t>セール横押力</t>
  </si>
  <si>
    <t>セールヨーモーメント</t>
  </si>
  <si>
    <t>(Nm)</t>
  </si>
  <si>
    <t>セールヒールモーメント</t>
  </si>
  <si>
    <t>残差</t>
  </si>
  <si>
    <t>(N&amp;Nm)</t>
  </si>
  <si>
    <t>艇速　VB</t>
  </si>
  <si>
    <t>GammaT</t>
  </si>
  <si>
    <t>舵角によるX力の変化の例</t>
  </si>
  <si>
    <t>δ</t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</si>
  <si>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'</t>
    </r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</si>
  <si>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[N]</t>
    </r>
  </si>
  <si>
    <r>
      <t>X</t>
    </r>
    <r>
      <rPr>
        <vertAlign val="subscript"/>
        <sz val="11"/>
        <rFont val="ＭＳ Ｐゴシック"/>
        <family val="3"/>
      </rPr>
      <t>H</t>
    </r>
    <r>
      <rPr>
        <sz val="11"/>
        <rFont val="ＭＳ Ｐゴシック"/>
        <family val="0"/>
      </rPr>
      <t>[kgf]</t>
    </r>
  </si>
  <si>
    <r>
      <t>V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0"/>
      </rPr>
      <t>=</t>
    </r>
  </si>
  <si>
    <t>トラピーズ距離</t>
  </si>
  <si>
    <t>kgf</t>
  </si>
  <si>
    <t>deg　　 計算間隔=</t>
  </si>
  <si>
    <t xml:space="preserve">      　　計算開始=</t>
  </si>
  <si>
    <t>m/s　  計算終了=</t>
  </si>
  <si>
    <t>初期値</t>
  </si>
  <si>
    <t>m/s</t>
  </si>
  <si>
    <t>deg</t>
  </si>
  <si>
    <t>風向範囲</t>
  </si>
  <si>
    <t>修正</t>
  </si>
  <si>
    <t>m/s             u0=</t>
  </si>
  <si>
    <t>deg            β0=</t>
  </si>
  <si>
    <t>deg            δ0=</t>
  </si>
  <si>
    <t>deg　　　  　 Φ0=</t>
  </si>
  <si>
    <t>クルー体重</t>
  </si>
  <si>
    <t>図の方向を正とする。スターボードタック</t>
  </si>
  <si>
    <t>で考えるので、ヒール角（Φ）は負になる。</t>
  </si>
  <si>
    <t>また、舵角（δ）も一般に負になる。</t>
  </si>
  <si>
    <t>１．船体直立抵抗（実船、センターボード下げ）</t>
  </si>
  <si>
    <t>２．セール流体力係数</t>
  </si>
  <si>
    <t>J+M</t>
  </si>
  <si>
    <t>S+M</t>
  </si>
  <si>
    <t>⊿xce=</t>
  </si>
  <si>
    <t>m</t>
  </si>
  <si>
    <t>Gzce=</t>
  </si>
  <si>
    <t>Gxce=</t>
  </si>
  <si>
    <t>ＣＥ図心前後位置</t>
  </si>
  <si>
    <t>ＣＥ図心高さ</t>
  </si>
  <si>
    <t>m （ＭＤから上）</t>
  </si>
  <si>
    <t>Txce=</t>
  </si>
  <si>
    <t>ＣＥ図心からの移動。前が正</t>
  </si>
  <si>
    <t>Txce=0 m はレーサー位置</t>
  </si>
  <si>
    <t>図心からのずれ</t>
  </si>
  <si>
    <t>⊿zce/√S=</t>
  </si>
  <si>
    <t>⊿xce/√S=</t>
  </si>
  <si>
    <t>図心からのずれ(％)</t>
  </si>
  <si>
    <t>γA</t>
  </si>
  <si>
    <t>⊿XCE/√S</t>
  </si>
  <si>
    <t>⊿ZCE/√S</t>
  </si>
  <si>
    <t>M+J</t>
  </si>
  <si>
    <t>M+S</t>
  </si>
  <si>
    <t>Xs0</t>
  </si>
  <si>
    <t>Ys0</t>
  </si>
  <si>
    <t>⊿xce/√S</t>
  </si>
  <si>
    <t>⊿zce/√S</t>
  </si>
  <si>
    <t>√S=</t>
  </si>
  <si>
    <t>図心からのずれ(m)</t>
  </si>
  <si>
    <t>M+J</t>
  </si>
  <si>
    <t>⊿XCE</t>
  </si>
  <si>
    <t>⊿ZCE</t>
  </si>
  <si>
    <t>船体復元モーメント</t>
  </si>
  <si>
    <t>KHheel=</t>
  </si>
  <si>
    <t>N-m</t>
  </si>
  <si>
    <t>GM=</t>
  </si>
  <si>
    <t>メタセンタ高さ</t>
  </si>
  <si>
    <t>クルー復原モーメント</t>
  </si>
  <si>
    <t>N-m</t>
  </si>
  <si>
    <t>m (1.7m以下で与える)</t>
  </si>
  <si>
    <t>ヒール角</t>
  </si>
  <si>
    <t>VMG</t>
  </si>
  <si>
    <t>(knot)</t>
  </si>
  <si>
    <t>2007.4.6</t>
  </si>
  <si>
    <t>新抵抗値</t>
  </si>
  <si>
    <t>ヒールモーメント考慮。トラピーズ距離は固定。新抵抗値</t>
  </si>
  <si>
    <t>マイナスは風下側へヒール</t>
  </si>
  <si>
    <t>セールパワー</t>
  </si>
  <si>
    <t>１　はフルセール</t>
  </si>
  <si>
    <r>
      <t>セーリングヨットの釣合計算（470級）</t>
    </r>
    <r>
      <rPr>
        <b/>
        <sz val="14"/>
        <color indexed="10"/>
        <rFont val="ＭＳ Ｐゴシック"/>
        <family val="3"/>
      </rPr>
      <t>その２</t>
    </r>
    <r>
      <rPr>
        <b/>
        <sz val="14"/>
        <rFont val="ＭＳ Ｐゴシック"/>
        <family val="3"/>
      </rPr>
      <t>　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</si>
</sst>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"/>
    <numFmt numFmtId="179" formatCode="0.000"/>
    <numFmt numFmtId="180" formatCode="0.0"/>
    <numFmt numFmtId="181" formatCode="0.00_ "/>
    <numFmt numFmtId="182" formatCode="0.0_ "/>
    <numFmt numFmtId="183" formatCode="0.0000_ "/>
    <numFmt numFmtId="184" formatCode="0.00000000_ "/>
    <numFmt numFmtId="185" formatCode="0.0000000000_ "/>
    <numFmt numFmtId="186" formatCode="0.00000000000_ "/>
    <numFmt numFmtId="187" formatCode="0.00000_ "/>
    <numFmt numFmtId="188" formatCode="0.00000000"/>
    <numFmt numFmtId="189" formatCode="0.0000000"/>
    <numFmt numFmtId="190" formatCode="0.000000000000000_ "/>
    <numFmt numFmtId="191" formatCode="0.0000000000000_ "/>
    <numFmt numFmtId="192" formatCode="0.00000000000000_ "/>
    <numFmt numFmtId="193" formatCode="0.E+00"/>
    <numFmt numFmtId="194" formatCode="0.000E+00"/>
    <numFmt numFmtId="195" formatCode="0.000_ "/>
    <numFmt numFmtId="196" formatCode="0.000_);[Red]\(0.000\)"/>
    <numFmt numFmtId="197" formatCode="0.000000000000000_);[Red]\(0.000000000000000\)"/>
    <numFmt numFmtId="198" formatCode="0.000000000_ "/>
    <numFmt numFmtId="199" formatCode="0.0000000_ "/>
    <numFmt numFmtId="200" formatCode="0.000000_ "/>
    <numFmt numFmtId="201" formatCode="0.000000000"/>
    <numFmt numFmtId="202" formatCode="0.0_);[Red]\(0.0\)"/>
    <numFmt numFmtId="203" formatCode="0_ "/>
    <numFmt numFmtId="204" formatCode="0.00000000000000000_ "/>
    <numFmt numFmtId="205" formatCode="0.00000000000000000000_ "/>
    <numFmt numFmtId="206" formatCode="0_);[Red]\(0\)"/>
  </numFmts>
  <fonts count="32">
    <font>
      <sz val="11"/>
      <name val="ＭＳ Ｐゴシック"/>
      <family val="0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9.25"/>
      <name val="ＭＳ Ｐゴシック"/>
      <family val="3"/>
    </font>
    <font>
      <sz val="17.75"/>
      <name val="ＭＳ Ｐゴシック"/>
      <family val="3"/>
    </font>
    <font>
      <sz val="37.75"/>
      <name val="ＭＳ Ｐゴシック"/>
      <family val="3"/>
    </font>
    <font>
      <sz val="10.75"/>
      <name val="ＭＳ Ｐゴシック"/>
      <family val="3"/>
    </font>
    <font>
      <sz val="10.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vertAlign val="subscript"/>
      <sz val="11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sz val="16.75"/>
      <name val="ＭＳ Ｐゴシック"/>
      <family val="3"/>
    </font>
    <font>
      <sz val="19"/>
      <name val="ＭＳ Ｐゴシック"/>
      <family val="3"/>
    </font>
    <font>
      <sz val="16"/>
      <name val="ＭＳ Ｐゴシック"/>
      <family val="3"/>
    </font>
    <font>
      <sz val="20.5"/>
      <name val="ＭＳ Ｐゴシック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.75"/>
      <name val="ＭＳ Ｐゴシック"/>
      <family val="3"/>
    </font>
    <font>
      <vertAlign val="superscript"/>
      <sz val="11.5"/>
      <name val="ＭＳ Ｐゴシック"/>
      <family val="3"/>
    </font>
    <font>
      <vertAlign val="superscript"/>
      <sz val="9.25"/>
      <name val="ＭＳ Ｐゴシック"/>
      <family val="3"/>
    </font>
    <font>
      <vertAlign val="superscript"/>
      <sz val="12"/>
      <name val="ＭＳ Ｐゴシック"/>
      <family val="3"/>
    </font>
    <font>
      <b/>
      <sz val="14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5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179" fontId="0" fillId="0" borderId="2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3" xfId="0" applyNumberFormat="1" applyBorder="1" applyAlignment="1">
      <alignment/>
    </xf>
    <xf numFmtId="179" fontId="0" fillId="0" borderId="5" xfId="0" applyNumberFormat="1" applyBorder="1" applyAlignment="1">
      <alignment/>
    </xf>
    <xf numFmtId="2" fontId="0" fillId="6" borderId="13" xfId="0" applyNumberFormat="1" applyFill="1" applyBorder="1" applyAlignment="1">
      <alignment/>
    </xf>
    <xf numFmtId="2" fontId="0" fillId="6" borderId="14" xfId="0" applyNumberFormat="1" applyFill="1" applyBorder="1" applyAlignment="1">
      <alignment/>
    </xf>
    <xf numFmtId="11" fontId="0" fillId="2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11" fontId="0" fillId="2" borderId="10" xfId="0" applyNumberFormat="1" applyFill="1" applyBorder="1" applyAlignment="1">
      <alignment/>
    </xf>
    <xf numFmtId="11" fontId="0" fillId="2" borderId="10" xfId="0" applyNumberFormat="1" applyFill="1" applyBorder="1" applyAlignment="1">
      <alignment horizontal="right"/>
    </xf>
    <xf numFmtId="11" fontId="0" fillId="2" borderId="3" xfId="0" applyNumberFormat="1" applyFill="1" applyBorder="1" applyAlignment="1">
      <alignment horizontal="right"/>
    </xf>
    <xf numFmtId="11" fontId="0" fillId="2" borderId="5" xfId="0" applyNumberFormat="1" applyFill="1" applyBorder="1" applyAlignment="1">
      <alignment/>
    </xf>
    <xf numFmtId="11" fontId="0" fillId="2" borderId="5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2" fontId="0" fillId="0" borderId="1" xfId="0" applyNumberForma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5" xfId="0" applyFill="1" applyBorder="1" applyAlignment="1">
      <alignment/>
    </xf>
    <xf numFmtId="179" fontId="0" fillId="0" borderId="4" xfId="0" applyNumberFormat="1" applyFill="1" applyBorder="1" applyAlignment="1">
      <alignment/>
    </xf>
    <xf numFmtId="0" fontId="0" fillId="7" borderId="17" xfId="0" applyFill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179" fontId="0" fillId="0" borderId="21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3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0" fontId="0" fillId="0" borderId="24" xfId="0" applyFill="1" applyBorder="1" applyAlignment="1">
      <alignment horizontal="right"/>
    </xf>
    <xf numFmtId="2" fontId="0" fillId="0" borderId="25" xfId="0" applyNumberFormat="1" applyFill="1" applyBorder="1" applyAlignment="1">
      <alignment/>
    </xf>
    <xf numFmtId="0" fontId="0" fillId="0" borderId="26" xfId="0" applyFill="1" applyBorder="1" applyAlignment="1">
      <alignment horizontal="right"/>
    </xf>
    <xf numFmtId="2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2" fontId="0" fillId="4" borderId="8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8" xfId="0" applyFill="1" applyBorder="1" applyAlignment="1">
      <alignment/>
    </xf>
    <xf numFmtId="177" fontId="0" fillId="5" borderId="10" xfId="0" applyNumberFormat="1" applyFill="1" applyBorder="1" applyAlignment="1">
      <alignment/>
    </xf>
    <xf numFmtId="177" fontId="0" fillId="5" borderId="3" xfId="0" applyNumberFormat="1" applyFill="1" applyBorder="1" applyAlignment="1">
      <alignment/>
    </xf>
    <xf numFmtId="177" fontId="0" fillId="5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8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4" xfId="0" applyFill="1" applyBorder="1" applyAlignment="1">
      <alignment horizontal="right"/>
    </xf>
    <xf numFmtId="2" fontId="0" fillId="8" borderId="1" xfId="0" applyNumberFormat="1" applyFill="1" applyBorder="1" applyAlignment="1">
      <alignment/>
    </xf>
    <xf numFmtId="2" fontId="0" fillId="8" borderId="2" xfId="0" applyNumberFormat="1" applyFill="1" applyBorder="1" applyAlignment="1">
      <alignment/>
    </xf>
    <xf numFmtId="2" fontId="0" fillId="8" borderId="4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16" xfId="0" applyNumberFormat="1" applyFill="1" applyBorder="1" applyAlignment="1">
      <alignment/>
    </xf>
    <xf numFmtId="11" fontId="0" fillId="2" borderId="3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 horizontal="left"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200" fontId="0" fillId="0" borderId="0" xfId="0" applyNumberFormat="1" applyAlignment="1">
      <alignment/>
    </xf>
    <xf numFmtId="195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195" fontId="0" fillId="0" borderId="2" xfId="0" applyNumberFormat="1" applyBorder="1" applyAlignment="1">
      <alignment/>
    </xf>
    <xf numFmtId="195" fontId="0" fillId="0" borderId="1" xfId="0" applyNumberFormat="1" applyBorder="1" applyAlignment="1">
      <alignment horizontal="center"/>
    </xf>
    <xf numFmtId="195" fontId="0" fillId="0" borderId="1" xfId="0" applyNumberFormat="1" applyBorder="1" applyAlignment="1">
      <alignment horizontal="left"/>
    </xf>
    <xf numFmtId="200" fontId="0" fillId="0" borderId="10" xfId="0" applyNumberFormat="1" applyBorder="1" applyAlignment="1">
      <alignment horizontal="center"/>
    </xf>
    <xf numFmtId="200" fontId="0" fillId="0" borderId="3" xfId="0" applyNumberFormat="1" applyBorder="1" applyAlignment="1">
      <alignment/>
    </xf>
    <xf numFmtId="195" fontId="0" fillId="0" borderId="4" xfId="0" applyNumberFormat="1" applyBorder="1" applyAlignment="1">
      <alignment/>
    </xf>
    <xf numFmtId="200" fontId="0" fillId="0" borderId="5" xfId="0" applyNumberFormat="1" applyBorder="1" applyAlignment="1">
      <alignment/>
    </xf>
    <xf numFmtId="195" fontId="0" fillId="0" borderId="3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82" fontId="0" fillId="0" borderId="2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13" fillId="0" borderId="0" xfId="0" applyFont="1" applyAlignment="1">
      <alignment/>
    </xf>
    <xf numFmtId="2" fontId="0" fillId="6" borderId="32" xfId="0" applyNumberForma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2" fontId="0" fillId="0" borderId="15" xfId="0" applyNumberFormat="1" applyFill="1" applyBorder="1" applyAlignment="1">
      <alignment/>
    </xf>
    <xf numFmtId="2" fontId="0" fillId="4" borderId="33" xfId="0" applyNumberFormat="1" applyFill="1" applyBorder="1" applyAlignment="1">
      <alignment/>
    </xf>
    <xf numFmtId="0" fontId="0" fillId="0" borderId="0" xfId="0" applyBorder="1" applyAlignment="1">
      <alignment horizontal="left"/>
    </xf>
    <xf numFmtId="181" fontId="0" fillId="0" borderId="18" xfId="0" applyNumberFormat="1" applyBorder="1" applyAlignment="1">
      <alignment/>
    </xf>
    <xf numFmtId="181" fontId="0" fillId="0" borderId="2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4" xfId="0" applyBorder="1" applyAlignment="1">
      <alignment horizontal="center"/>
    </xf>
    <xf numFmtId="195" fontId="0" fillId="0" borderId="35" xfId="0" applyNumberFormat="1" applyBorder="1" applyAlignment="1">
      <alignment horizontal="center"/>
    </xf>
    <xf numFmtId="195" fontId="0" fillId="0" borderId="25" xfId="0" applyNumberFormat="1" applyBorder="1" applyAlignment="1">
      <alignment horizontal="center"/>
    </xf>
    <xf numFmtId="200" fontId="0" fillId="0" borderId="36" xfId="0" applyNumberFormat="1" applyBorder="1" applyAlignment="1">
      <alignment horizontal="center"/>
    </xf>
    <xf numFmtId="181" fontId="0" fillId="0" borderId="1" xfId="0" applyNumberFormat="1" applyBorder="1" applyAlignment="1">
      <alignment/>
    </xf>
    <xf numFmtId="195" fontId="0" fillId="0" borderId="1" xfId="0" applyNumberFormat="1" applyBorder="1" applyAlignment="1">
      <alignment/>
    </xf>
    <xf numFmtId="182" fontId="0" fillId="0" borderId="1" xfId="0" applyNumberFormat="1" applyBorder="1" applyAlignment="1">
      <alignment/>
    </xf>
    <xf numFmtId="200" fontId="0" fillId="0" borderId="10" xfId="0" applyNumberFormat="1" applyBorder="1" applyAlignment="1">
      <alignment/>
    </xf>
    <xf numFmtId="181" fontId="0" fillId="0" borderId="3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82" fontId="0" fillId="0" borderId="4" xfId="0" applyNumberFormat="1" applyBorder="1" applyAlignment="1">
      <alignment/>
    </xf>
    <xf numFmtId="0" fontId="26" fillId="4" borderId="8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8" borderId="15" xfId="0" applyFill="1" applyBorder="1" applyAlignment="1">
      <alignment/>
    </xf>
    <xf numFmtId="0" fontId="0" fillId="8" borderId="36" xfId="0" applyFill="1" applyBorder="1" applyAlignment="1">
      <alignment/>
    </xf>
    <xf numFmtId="0" fontId="0" fillId="0" borderId="40" xfId="0" applyFill="1" applyBorder="1" applyAlignment="1">
      <alignment horizontal="right"/>
    </xf>
    <xf numFmtId="179" fontId="26" fillId="0" borderId="3" xfId="0" applyNumberFormat="1" applyFont="1" applyBorder="1" applyAlignment="1">
      <alignment/>
    </xf>
    <xf numFmtId="179" fontId="26" fillId="0" borderId="5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79" fontId="0" fillId="2" borderId="6" xfId="0" applyNumberFormat="1" applyFill="1" applyBorder="1" applyAlignment="1">
      <alignment/>
    </xf>
    <xf numFmtId="179" fontId="0" fillId="2" borderId="10" xfId="0" applyNumberFormat="1" applyFill="1" applyBorder="1" applyAlignment="1">
      <alignment/>
    </xf>
    <xf numFmtId="179" fontId="0" fillId="2" borderId="15" xfId="0" applyNumberFormat="1" applyFill="1" applyBorder="1" applyAlignment="1">
      <alignment/>
    </xf>
    <xf numFmtId="179" fontId="0" fillId="2" borderId="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179" fontId="0" fillId="2" borderId="16" xfId="0" applyNumberFormat="1" applyFill="1" applyBorder="1" applyAlignment="1">
      <alignment/>
    </xf>
    <xf numFmtId="179" fontId="0" fillId="2" borderId="5" xfId="0" applyNumberFormat="1" applyFill="1" applyBorder="1" applyAlignment="1">
      <alignment/>
    </xf>
    <xf numFmtId="179" fontId="17" fillId="2" borderId="3" xfId="0" applyNumberFormat="1" applyFont="1" applyFill="1" applyBorder="1" applyAlignment="1">
      <alignment/>
    </xf>
    <xf numFmtId="0" fontId="0" fillId="0" borderId="34" xfId="0" applyBorder="1" applyAlignment="1">
      <alignment/>
    </xf>
    <xf numFmtId="179" fontId="0" fillId="2" borderId="24" xfId="0" applyNumberFormat="1" applyFill="1" applyBorder="1" applyAlignment="1">
      <alignment/>
    </xf>
    <xf numFmtId="179" fontId="0" fillId="2" borderId="36" xfId="0" applyNumberFormat="1" applyFill="1" applyBorder="1" applyAlignment="1">
      <alignment/>
    </xf>
    <xf numFmtId="0" fontId="0" fillId="0" borderId="41" xfId="0" applyFill="1" applyBorder="1" applyAlignment="1">
      <alignment/>
    </xf>
    <xf numFmtId="179" fontId="0" fillId="7" borderId="6" xfId="0" applyNumberFormat="1" applyFill="1" applyBorder="1" applyAlignment="1">
      <alignment/>
    </xf>
    <xf numFmtId="179" fontId="0" fillId="7" borderId="10" xfId="0" applyNumberFormat="1" applyFill="1" applyBorder="1" applyAlignment="1">
      <alignment/>
    </xf>
    <xf numFmtId="179" fontId="0" fillId="7" borderId="15" xfId="0" applyNumberFormat="1" applyFill="1" applyBorder="1" applyAlignment="1">
      <alignment/>
    </xf>
    <xf numFmtId="179" fontId="0" fillId="7" borderId="3" xfId="0" applyNumberFormat="1" applyFill="1" applyBorder="1" applyAlignment="1">
      <alignment/>
    </xf>
    <xf numFmtId="179" fontId="0" fillId="7" borderId="16" xfId="0" applyNumberFormat="1" applyFill="1" applyBorder="1" applyAlignment="1">
      <alignment/>
    </xf>
    <xf numFmtId="179" fontId="0" fillId="7" borderId="5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4" xfId="0" applyNumberFormat="1" applyBorder="1" applyAlignment="1">
      <alignment/>
    </xf>
    <xf numFmtId="179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179" fontId="0" fillId="2" borderId="29" xfId="0" applyNumberFormat="1" applyFill="1" applyBorder="1" applyAlignment="1">
      <alignment/>
    </xf>
    <xf numFmtId="179" fontId="0" fillId="2" borderId="12" xfId="0" applyNumberFormat="1" applyFill="1" applyBorder="1" applyAlignment="1">
      <alignment/>
    </xf>
    <xf numFmtId="179" fontId="0" fillId="6" borderId="23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7" borderId="32" xfId="0" applyFill="1" applyBorder="1" applyAlignment="1">
      <alignment/>
    </xf>
    <xf numFmtId="2" fontId="0" fillId="6" borderId="32" xfId="0" applyNumberFormat="1" applyFill="1" applyBorder="1" applyAlignment="1">
      <alignment horizontal="right"/>
    </xf>
    <xf numFmtId="178" fontId="0" fillId="9" borderId="8" xfId="0" applyNumberForma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8" borderId="8" xfId="0" applyNumberForma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177" fontId="0" fillId="5" borderId="3" xfId="0" applyNumberFormat="1" applyFill="1" applyBorder="1" applyAlignment="1">
      <alignment horizontal="right"/>
    </xf>
    <xf numFmtId="2" fontId="0" fillId="8" borderId="2" xfId="0" applyNumberFormat="1" applyFont="1" applyFill="1" applyBorder="1" applyAlignment="1">
      <alignment/>
    </xf>
    <xf numFmtId="195" fontId="0" fillId="6" borderId="1" xfId="0" applyNumberFormat="1" applyFill="1" applyBorder="1" applyAlignment="1">
      <alignment horizontal="center"/>
    </xf>
    <xf numFmtId="195" fontId="0" fillId="6" borderId="25" xfId="0" applyNumberFormat="1" applyFill="1" applyBorder="1" applyAlignment="1">
      <alignment horizontal="center"/>
    </xf>
    <xf numFmtId="181" fontId="0" fillId="6" borderId="1" xfId="0" applyNumberFormat="1" applyFill="1" applyBorder="1" applyAlignment="1">
      <alignment/>
    </xf>
    <xf numFmtId="181" fontId="0" fillId="6" borderId="2" xfId="0" applyNumberFormat="1" applyFill="1" applyBorder="1" applyAlignment="1">
      <alignment/>
    </xf>
    <xf numFmtId="181" fontId="0" fillId="6" borderId="4" xfId="0" applyNumberForma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5" xfId="0" applyNumberFormat="1" applyFill="1" applyBorder="1" applyAlignment="1">
      <alignment/>
    </xf>
    <xf numFmtId="181" fontId="0" fillId="0" borderId="18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95" fontId="0" fillId="0" borderId="2" xfId="0" applyNumberFormat="1" applyFill="1" applyBorder="1" applyAlignment="1">
      <alignment/>
    </xf>
    <xf numFmtId="182" fontId="0" fillId="0" borderId="2" xfId="0" applyNumberFormat="1" applyFill="1" applyBorder="1" applyAlignment="1">
      <alignment/>
    </xf>
    <xf numFmtId="200" fontId="0" fillId="0" borderId="3" xfId="0" applyNumberFormat="1" applyFill="1" applyBorder="1" applyAlignment="1">
      <alignment/>
    </xf>
    <xf numFmtId="182" fontId="19" fillId="0" borderId="1" xfId="0" applyNumberFormat="1" applyFont="1" applyBorder="1" applyAlignment="1">
      <alignment/>
    </xf>
    <xf numFmtId="182" fontId="19" fillId="0" borderId="2" xfId="0" applyNumberFormat="1" applyFont="1" applyBorder="1" applyAlignment="1">
      <alignment/>
    </xf>
    <xf numFmtId="182" fontId="19" fillId="0" borderId="2" xfId="0" applyNumberFormat="1" applyFont="1" applyFill="1" applyBorder="1" applyAlignment="1">
      <alignment/>
    </xf>
    <xf numFmtId="182" fontId="19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4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Polar Diagram [m/s]</a:t>
            </a:r>
          </a:p>
        </c:rich>
      </c:tx>
      <c:layout>
        <c:manualLayout>
          <c:xMode val="factor"/>
          <c:yMode val="factor"/>
          <c:x val="0.00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19"/>
          <c:w val="0.749"/>
          <c:h val="0.75275"/>
        </c:manualLayout>
      </c:layout>
      <c:radarChart>
        <c:radarStyle val="standard"/>
        <c:varyColors val="0"/>
        <c:ser>
          <c:idx val="0"/>
          <c:order val="0"/>
          <c:tx>
            <c:v>方位角にはリーウェイ角を含んでいない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'釣合計算'!$T$4:$T$39</c:f>
              <c:numCache/>
            </c:numRef>
          </c:val>
        </c:ser>
        <c:axId val="29565419"/>
        <c:axId val="64762180"/>
      </c:radarChart>
      <c:catAx>
        <c:axId val="295654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one"/>
        <c:crossAx val="64762180"/>
        <c:crosses val="autoZero"/>
        <c:auto val="1"/>
        <c:lblOffset val="100"/>
        <c:noMultiLvlLbl val="0"/>
      </c:catAx>
      <c:valAx>
        <c:axId val="64762180"/>
        <c:scaling>
          <c:orientation val="minMax"/>
          <c:min val="0"/>
        </c:scaling>
        <c:axPos val="l"/>
        <c:majorGridlines/>
        <c:delete val="0"/>
        <c:numFmt formatCode="0.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2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6541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0975"/>
          <c:y val="0.9045"/>
          <c:w val="0.79575"/>
          <c:h val="0.0785"/>
        </c:manualLayout>
      </c:layout>
      <c:overlay val="0"/>
      <c:txPr>
        <a:bodyPr vert="horz" rot="0"/>
        <a:lstStyle/>
        <a:p>
          <a:pPr>
            <a:defRPr lang="en-US" cap="none" sz="1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リーウェイ角、舵角、艇速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45"/>
          <c:w val="0.91"/>
          <c:h val="0.7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'釣合計算'!$C$33</c:f>
              <c:strCache>
                <c:ptCount val="1"/>
                <c:pt idx="0">
                  <c:v>リーウェイ角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'釣合計算'!$H$35:$H$50</c:f>
              <c:numCache/>
            </c:numRef>
          </c:xVal>
          <c:yVal>
            <c:numRef>
              <c:f>'釣合計算'!$C$35:$C$50</c:f>
              <c:numCache/>
            </c:numRef>
          </c:yVal>
          <c:smooth val="1"/>
        </c:ser>
        <c:ser>
          <c:idx val="1"/>
          <c:order val="1"/>
          <c:tx>
            <c:strRef>
              <c:f>'釣合計算'!$E$33</c:f>
              <c:strCache>
                <c:ptCount val="1"/>
                <c:pt idx="0">
                  <c:v>舵角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'釣合計算'!$H$35:$H$50</c:f>
              <c:numCache/>
            </c:numRef>
          </c:xVal>
          <c:yVal>
            <c:numRef>
              <c:f>'釣合計算'!$E$35:$E$50</c:f>
              <c:numCache/>
            </c:numRef>
          </c:yVal>
          <c:smooth val="1"/>
        </c:ser>
        <c:ser>
          <c:idx val="2"/>
          <c:order val="2"/>
          <c:tx>
            <c:strRef>
              <c:f>'釣合計算'!$F$33</c:f>
              <c:strCache>
                <c:ptCount val="1"/>
                <c:pt idx="0">
                  <c:v>艇速　VB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'釣合計算'!$H$35:$H$50</c:f>
              <c:numCache/>
            </c:numRef>
          </c:xVal>
          <c:yVal>
            <c:numRef>
              <c:f>'釣合計算'!$F$35:$F$50</c:f>
              <c:numCache/>
            </c:numRef>
          </c:yVal>
          <c:smooth val="1"/>
        </c:ser>
        <c:axId val="45988709"/>
        <c:axId val="11245198"/>
      </c:scatterChart>
      <c:valAx>
        <c:axId val="45988709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真風向+リーウェイ角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1245198"/>
        <c:crosses val="autoZero"/>
        <c:crossBetween val="midCat"/>
        <c:dispUnits/>
        <c:majorUnit val="30"/>
      </c:valAx>
      <c:valAx>
        <c:axId val="11245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ＭＳ Ｐゴシック"/>
                    <a:ea typeface="ＭＳ Ｐゴシック"/>
                    <a:cs typeface="ＭＳ Ｐゴシック"/>
                  </a:rPr>
                  <a:t>[deg],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4598870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5"/>
          <c:y val="0.91675"/>
          <c:w val="0.88225"/>
          <c:h val="0.066"/>
        </c:manualLayout>
      </c:layout>
      <c:overlay val="0"/>
      <c:txPr>
        <a:bodyPr vert="horz" rot="0"/>
        <a:lstStyle/>
        <a:p>
          <a:pPr>
            <a:defRPr lang="en-US" cap="none" sz="15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13975"/>
          <c:w val="0.886"/>
          <c:h val="0.82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'係数'!$B$4</c:f>
              <c:strCache>
                <c:ptCount val="1"/>
                <c:pt idx="0">
                  <c:v>D(kgf)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_ "/>
            </c:trendlineLbl>
          </c:trendline>
          <c:xVal>
            <c:numRef>
              <c:f>'係数'!$A$5:$A$17</c:f>
              <c:numCache/>
            </c:numRef>
          </c:xVal>
          <c:yVal>
            <c:numRef>
              <c:f>'係数'!$B$5:$B$17</c:f>
              <c:numCache/>
            </c:numRef>
          </c:yVal>
          <c:smooth val="1"/>
        </c:ser>
        <c:axId val="34097919"/>
        <c:axId val="38445816"/>
      </c:scatterChart>
      <c:valAx>
        <c:axId val="3409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VB(m/s)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45816"/>
        <c:crosses val="autoZero"/>
        <c:crossBetween val="midCat"/>
        <c:dispUnits/>
      </c:valAx>
      <c:valAx>
        <c:axId val="38445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D(kgf)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0979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25525"/>
          <c:w val="0.90725"/>
          <c:h val="0.74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'係数'!$I$4</c:f>
              <c:strCache>
                <c:ptCount val="1"/>
                <c:pt idx="0">
                  <c:v>CX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000000000000000_ "/>
            </c:trendlineLbl>
          </c:trendline>
          <c:xVal>
            <c:numRef>
              <c:f>'係数'!$H$5:$H$22</c:f>
              <c:numCache/>
            </c:numRef>
          </c:xVal>
          <c:yVal>
            <c:numRef>
              <c:f>'係数'!$I$5:$I$22</c:f>
              <c:numCache/>
            </c:numRef>
          </c:yVal>
          <c:smooth val="1"/>
        </c:ser>
        <c:axId val="10468025"/>
        <c:axId val="27103362"/>
      </c:scatterChart>
      <c:valAx>
        <c:axId val="10468025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GammaA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03362"/>
        <c:crosses val="autoZero"/>
        <c:crossBetween val="midCat"/>
        <c:dispUnits/>
        <c:majorUnit val="30"/>
      </c:val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0468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26125"/>
          <c:w val="0.90075"/>
          <c:h val="0.68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'係数'!$J$4</c:f>
              <c:strCache>
                <c:ptCount val="1"/>
                <c:pt idx="0">
                  <c:v>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000000000000000_ "/>
            </c:trendlineLbl>
          </c:trendline>
          <c:xVal>
            <c:numRef>
              <c:f>'係数'!$H$5:$H$22</c:f>
              <c:numCache/>
            </c:numRef>
          </c:xVal>
          <c:yVal>
            <c:numRef>
              <c:f>'係数'!$J$5:$J$22</c:f>
              <c:numCache/>
            </c:numRef>
          </c:yVal>
          <c:smooth val="1"/>
        </c:ser>
        <c:axId val="42603667"/>
        <c:axId val="47888684"/>
      </c:scatterChart>
      <c:valAx>
        <c:axId val="42603667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GammaA</a:t>
                </a:r>
              </a:p>
            </c:rich>
          </c:tx>
          <c:layout>
            <c:manualLayout>
              <c:xMode val="factor"/>
              <c:yMode val="factor"/>
              <c:x val="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88684"/>
        <c:crosses val="autoZero"/>
        <c:crossBetween val="midCat"/>
        <c:dispUnits/>
        <c:majorUnit val="30"/>
      </c:valAx>
      <c:valAx>
        <c:axId val="47888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426036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４７０級着力点（図心からのずれ：設定値）</a:t>
            </a:r>
          </a:p>
        </c:rich>
      </c:tx>
      <c:layout>
        <c:manualLayout>
          <c:xMode val="factor"/>
          <c:yMode val="factor"/>
          <c:x val="0.003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71"/>
          <c:w val="0.912"/>
          <c:h val="0.73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'係数'!$M$4</c:f>
              <c:strCache>
                <c:ptCount val="1"/>
                <c:pt idx="0">
                  <c:v>⊿XCE/√S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4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00000_ "/>
            </c:trendlineLbl>
          </c:trendline>
          <c:xVal>
            <c:numRef>
              <c:f>'係数'!$L$5:$L$17</c:f>
              <c:numCache/>
            </c:numRef>
          </c:xVal>
          <c:yVal>
            <c:numRef>
              <c:f>'係数'!$M$5:$M$17</c:f>
              <c:numCache/>
            </c:numRef>
          </c:yVal>
          <c:smooth val="1"/>
        </c:ser>
        <c:ser>
          <c:idx val="1"/>
          <c:order val="1"/>
          <c:tx>
            <c:strRef>
              <c:f>'係数'!$N$4</c:f>
              <c:strCache>
                <c:ptCount val="1"/>
                <c:pt idx="0">
                  <c:v>⊿ZCE/√S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00000_ "/>
            </c:trendlineLbl>
          </c:trendline>
          <c:xVal>
            <c:numRef>
              <c:f>'係数'!$L$5:$L$17</c:f>
              <c:numCache/>
            </c:numRef>
          </c:xVal>
          <c:yVal>
            <c:numRef>
              <c:f>'係数'!$N$5:$N$17</c:f>
              <c:numCache/>
            </c:numRef>
          </c:yVal>
          <c:smooth val="1"/>
        </c:ser>
        <c:ser>
          <c:idx val="2"/>
          <c:order val="2"/>
          <c:tx>
            <c:strRef>
              <c:f>'係数'!$M$4</c:f>
              <c:strCache>
                <c:ptCount val="1"/>
                <c:pt idx="0">
                  <c:v>⊿XCE/√S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'係数'!$L$18:$L$22</c:f>
              <c:numCache/>
            </c:numRef>
          </c:xVal>
          <c:yVal>
            <c:numRef>
              <c:f>'係数'!$M$18:$M$22</c:f>
              <c:numCache/>
            </c:numRef>
          </c:yVal>
          <c:smooth val="1"/>
        </c:ser>
        <c:ser>
          <c:idx val="3"/>
          <c:order val="3"/>
          <c:tx>
            <c:strRef>
              <c:f>'係数'!$N$4</c:f>
              <c:strCache>
                <c:ptCount val="1"/>
                <c:pt idx="0">
                  <c:v>⊿ZCE/√S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'係数'!$L$18:$L$22</c:f>
              <c:numCache/>
            </c:numRef>
          </c:xVal>
          <c:yVal>
            <c:numRef>
              <c:f>'係数'!$N$18:$N$22</c:f>
              <c:numCache/>
            </c:numRef>
          </c:yVal>
          <c:smooth val="1"/>
        </c:ser>
        <c:axId val="28344973"/>
        <c:axId val="53778166"/>
      </c:scatterChart>
      <c:valAx>
        <c:axId val="28344973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γA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78166"/>
        <c:crosses val="autoZero"/>
        <c:crossBetween val="midCat"/>
        <c:dispUnits/>
        <c:majorUnit val="30"/>
      </c:valAx>
      <c:valAx>
        <c:axId val="53778166"/>
        <c:scaling>
          <c:orientation val="minMax"/>
        </c:scaling>
        <c:axPos val="l"/>
        <c:majorGridlines/>
        <c:delete val="0"/>
        <c:numFmt formatCode="General" sourceLinked="0"/>
        <c:majorTickMark val="in"/>
        <c:minorTickMark val="none"/>
        <c:tickLblPos val="nextTo"/>
        <c:crossAx val="28344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58"/>
          <c:w val="0.717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風圧中心の図心からのずれ</a:t>
            </a:r>
          </a:p>
        </c:rich>
      </c:tx>
      <c:layout>
        <c:manualLayout>
          <c:xMode val="factor"/>
          <c:yMode val="factor"/>
          <c:x val="0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06"/>
          <c:w val="0.83025"/>
          <c:h val="0.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'係数'!$M$26</c:f>
              <c:strCache>
                <c:ptCount val="1"/>
                <c:pt idx="0">
                  <c:v>⊿XCE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'係数'!$L$27:$L$44</c:f>
              <c:numCache/>
            </c:numRef>
          </c:xVal>
          <c:yVal>
            <c:numRef>
              <c:f>'係数'!$M$27:$M$44</c:f>
              <c:numCache/>
            </c:numRef>
          </c:yVal>
          <c:smooth val="1"/>
        </c:ser>
        <c:ser>
          <c:idx val="1"/>
          <c:order val="1"/>
          <c:tx>
            <c:strRef>
              <c:f>'係数'!$N$26</c:f>
              <c:strCache>
                <c:ptCount val="1"/>
                <c:pt idx="0">
                  <c:v>⊿ZCE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'係数'!$L$27:$L$44</c:f>
              <c:numCache/>
            </c:numRef>
          </c:xVal>
          <c:yVal>
            <c:numRef>
              <c:f>'係数'!$N$27:$N$44</c:f>
              <c:numCache/>
            </c:numRef>
          </c:yVal>
          <c:smooth val="1"/>
        </c:ser>
        <c:axId val="14241447"/>
        <c:axId val="61064160"/>
      </c:scatterChart>
      <c:valAx>
        <c:axId val="14241447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γA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64160"/>
        <c:crosses val="autoZero"/>
        <c:crossBetween val="midCat"/>
        <c:dispUnits/>
        <c:majorUnit val="30"/>
      </c:valAx>
      <c:valAx>
        <c:axId val="61064160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424144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舵角による抵抗増加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'係数計算例'!$D$5</c:f>
              <c:strCache>
                <c:ptCount val="1"/>
                <c:pt idx="0">
                  <c:v>XH[kgf]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'係数計算例'!$A$6:$A$11</c:f>
              <c:numCache/>
            </c:numRef>
          </c:xVal>
          <c:yVal>
            <c:numRef>
              <c:f>'係数計算例'!$D$6:$D$11</c:f>
              <c:numCache/>
            </c:numRef>
          </c:yVal>
          <c:smooth val="1"/>
        </c:ser>
        <c:axId val="12706529"/>
        <c:axId val="47249898"/>
      </c:scatterChart>
      <c:val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舵角[deg]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49898"/>
        <c:crosses val="autoZero"/>
        <c:crossBetween val="midCat"/>
        <c:dispUnits/>
      </c:valAx>
      <c:valAx>
        <c:axId val="4724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抵抗値[kgf]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27065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2</xdr:row>
      <xdr:rowOff>38100</xdr:rowOff>
    </xdr:from>
    <xdr:to>
      <xdr:col>31</xdr:col>
      <xdr:colOff>485775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5878175" y="495300"/>
        <a:ext cx="55340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38100</xdr:colOff>
      <xdr:row>2</xdr:row>
      <xdr:rowOff>28575</xdr:rowOff>
    </xdr:from>
    <xdr:to>
      <xdr:col>40</xdr:col>
      <xdr:colOff>381000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21545550" y="485775"/>
        <a:ext cx="5362575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942975</xdr:colOff>
      <xdr:row>13</xdr:row>
      <xdr:rowOff>0</xdr:rowOff>
    </xdr:from>
    <xdr:to>
      <xdr:col>5</xdr:col>
      <xdr:colOff>304800</xdr:colOff>
      <xdr:row>15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244792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276225</xdr:colOff>
      <xdr:row>17</xdr:row>
      <xdr:rowOff>28575</xdr:rowOff>
    </xdr:from>
    <xdr:to>
      <xdr:col>16</xdr:col>
      <xdr:colOff>695325</xdr:colOff>
      <xdr:row>31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rcRect r="47998"/>
        <a:stretch>
          <a:fillRect/>
        </a:stretch>
      </xdr:blipFill>
      <xdr:spPr>
        <a:xfrm>
          <a:off x="10782300" y="3200400"/>
          <a:ext cx="2486025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9525</xdr:rowOff>
    </xdr:from>
    <xdr:to>
      <xdr:col>6</xdr:col>
      <xdr:colOff>504825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1485900" y="714375"/>
        <a:ext cx="3133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</xdr:colOff>
      <xdr:row>0</xdr:row>
      <xdr:rowOff>142875</xdr:rowOff>
    </xdr:from>
    <xdr:to>
      <xdr:col>20</xdr:col>
      <xdr:colOff>47625</xdr:colOff>
      <xdr:row>19</xdr:row>
      <xdr:rowOff>161925</xdr:rowOff>
    </xdr:to>
    <xdr:graphicFrame>
      <xdr:nvGraphicFramePr>
        <xdr:cNvPr id="2" name="Chart 3"/>
        <xdr:cNvGraphicFramePr/>
      </xdr:nvGraphicFramePr>
      <xdr:xfrm>
        <a:off x="9601200" y="142875"/>
        <a:ext cx="40767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20</xdr:row>
      <xdr:rowOff>0</xdr:rowOff>
    </xdr:from>
    <xdr:to>
      <xdr:col>20</xdr:col>
      <xdr:colOff>47625</xdr:colOff>
      <xdr:row>38</xdr:row>
      <xdr:rowOff>152400</xdr:rowOff>
    </xdr:to>
    <xdr:graphicFrame>
      <xdr:nvGraphicFramePr>
        <xdr:cNvPr id="3" name="Chart 4"/>
        <xdr:cNvGraphicFramePr/>
      </xdr:nvGraphicFramePr>
      <xdr:xfrm>
        <a:off x="9601200" y="3476625"/>
        <a:ext cx="40767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76200</xdr:colOff>
      <xdr:row>2</xdr:row>
      <xdr:rowOff>9525</xdr:rowOff>
    </xdr:from>
    <xdr:to>
      <xdr:col>27</xdr:col>
      <xdr:colOff>571500</xdr:colOff>
      <xdr:row>38</xdr:row>
      <xdr:rowOff>142875</xdr:rowOff>
    </xdr:to>
    <xdr:graphicFrame>
      <xdr:nvGraphicFramePr>
        <xdr:cNvPr id="4" name="Chart 8"/>
        <xdr:cNvGraphicFramePr/>
      </xdr:nvGraphicFramePr>
      <xdr:xfrm>
        <a:off x="13706475" y="352425"/>
        <a:ext cx="5295900" cy="641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266700</xdr:colOff>
      <xdr:row>39</xdr:row>
      <xdr:rowOff>85725</xdr:rowOff>
    </xdr:from>
    <xdr:to>
      <xdr:col>25</xdr:col>
      <xdr:colOff>514350</xdr:colOff>
      <xdr:row>66</xdr:row>
      <xdr:rowOff>161925</xdr:rowOff>
    </xdr:to>
    <xdr:graphicFrame>
      <xdr:nvGraphicFramePr>
        <xdr:cNvPr id="5" name="Chart 9"/>
        <xdr:cNvGraphicFramePr/>
      </xdr:nvGraphicFramePr>
      <xdr:xfrm>
        <a:off x="9782175" y="6886575"/>
        <a:ext cx="779145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142875</xdr:rowOff>
    </xdr:from>
    <xdr:to>
      <xdr:col>7</xdr:col>
      <xdr:colOff>552450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95325" y="2105025"/>
        <a:ext cx="46577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97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2" max="2" width="11.625" style="0" customWidth="1"/>
    <col min="3" max="3" width="10.375" style="0" customWidth="1"/>
    <col min="4" max="4" width="14.50390625" style="0" customWidth="1"/>
    <col min="5" max="5" width="9.625" style="0" customWidth="1"/>
    <col min="6" max="6" width="10.375" style="0" customWidth="1"/>
    <col min="7" max="7" width="10.875" style="0" customWidth="1"/>
    <col min="8" max="8" width="10.50390625" style="0" customWidth="1"/>
    <col min="9" max="9" width="8.75390625" style="0" customWidth="1"/>
    <col min="10" max="10" width="11.625" style="0" customWidth="1"/>
    <col min="11" max="11" width="11.25390625" style="0" customWidth="1"/>
    <col min="12" max="12" width="10.00390625" style="0" customWidth="1"/>
    <col min="13" max="13" width="9.375" style="0" customWidth="1"/>
    <col min="14" max="14" width="9.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1.12109375" style="0" customWidth="1"/>
    <col min="19" max="34" width="7.625" style="0" customWidth="1"/>
    <col min="35" max="35" width="5.625" style="0" customWidth="1"/>
  </cols>
  <sheetData>
    <row r="1" spans="1:19" ht="18" thickBot="1">
      <c r="A1" s="1" t="s">
        <v>201</v>
      </c>
      <c r="E1" s="124" t="s">
        <v>197</v>
      </c>
      <c r="G1" s="16"/>
      <c r="H1" s="16"/>
      <c r="I1" s="16"/>
      <c r="K1" s="77" t="s">
        <v>85</v>
      </c>
      <c r="L1" s="16"/>
      <c r="M1" s="117" t="s">
        <v>195</v>
      </c>
      <c r="N1" s="116" t="s">
        <v>143</v>
      </c>
      <c r="O1" s="16"/>
      <c r="P1" s="16"/>
      <c r="Q1" s="16"/>
      <c r="R1" s="16"/>
      <c r="S1" s="1" t="s">
        <v>86</v>
      </c>
    </row>
    <row r="2" spans="1:27" ht="18" customHeight="1" thickBot="1">
      <c r="A2" s="102" t="s">
        <v>105</v>
      </c>
      <c r="E2" s="122" t="s">
        <v>142</v>
      </c>
      <c r="G2" s="78" t="s">
        <v>26</v>
      </c>
      <c r="H2" s="79" t="s">
        <v>27</v>
      </c>
      <c r="I2" s="13">
        <v>1025</v>
      </c>
      <c r="J2" s="53" t="s">
        <v>6</v>
      </c>
      <c r="K2" s="78" t="s">
        <v>4</v>
      </c>
      <c r="L2" s="79" t="s">
        <v>5</v>
      </c>
      <c r="M2" s="13">
        <v>1.2</v>
      </c>
      <c r="N2" s="53" t="s">
        <v>6</v>
      </c>
      <c r="O2" s="3"/>
      <c r="P2" s="3"/>
      <c r="Q2" s="3"/>
      <c r="R2" s="16"/>
      <c r="V2" s="2" t="s">
        <v>38</v>
      </c>
      <c r="W2" s="69">
        <f>UT</f>
        <v>8</v>
      </c>
      <c r="X2" t="s">
        <v>2</v>
      </c>
      <c r="Y2" s="9" t="s">
        <v>156</v>
      </c>
      <c r="Z2" s="69">
        <f>⊿xce</f>
        <v>0.020536131719613743</v>
      </c>
      <c r="AA2" s="3" t="s">
        <v>157</v>
      </c>
    </row>
    <row r="3" spans="1:20" ht="15" thickBot="1">
      <c r="A3" s="101"/>
      <c r="B3" s="2"/>
      <c r="C3" s="3"/>
      <c r="D3" t="s">
        <v>137</v>
      </c>
      <c r="E3" s="98">
        <v>30</v>
      </c>
      <c r="F3" t="s">
        <v>104</v>
      </c>
      <c r="G3" s="3" t="s">
        <v>0</v>
      </c>
      <c r="H3" s="9"/>
      <c r="I3" s="3"/>
      <c r="J3" s="3"/>
      <c r="K3" s="3"/>
      <c r="L3" s="9"/>
      <c r="M3" s="3"/>
      <c r="N3" s="3"/>
      <c r="O3" s="36" t="s">
        <v>154</v>
      </c>
      <c r="P3" s="157" t="s">
        <v>155</v>
      </c>
      <c r="Q3" s="3"/>
      <c r="R3" s="16"/>
      <c r="S3" s="96" t="s">
        <v>127</v>
      </c>
      <c r="T3" s="97" t="s">
        <v>103</v>
      </c>
    </row>
    <row r="4" spans="2:20" ht="14.25" thickBot="1">
      <c r="B4" s="2" t="s">
        <v>38</v>
      </c>
      <c r="C4" s="98">
        <v>8</v>
      </c>
      <c r="D4" t="s">
        <v>138</v>
      </c>
      <c r="E4" s="99">
        <v>60</v>
      </c>
      <c r="F4" t="s">
        <v>104</v>
      </c>
      <c r="G4" s="80" t="s">
        <v>28</v>
      </c>
      <c r="H4" s="81" t="s">
        <v>58</v>
      </c>
      <c r="I4" s="4">
        <v>275</v>
      </c>
      <c r="J4" s="18" t="s">
        <v>1</v>
      </c>
      <c r="K4" s="80" t="s">
        <v>29</v>
      </c>
      <c r="L4" s="81" t="s">
        <v>30</v>
      </c>
      <c r="M4" s="4">
        <f>IF(γA&gt;102,19.1,12.7)</f>
        <v>12.7</v>
      </c>
      <c r="N4" s="155" t="s">
        <v>14</v>
      </c>
      <c r="O4" s="158">
        <v>12.7</v>
      </c>
      <c r="P4" s="159">
        <v>19.1</v>
      </c>
      <c r="Q4" s="3" t="s">
        <v>14</v>
      </c>
      <c r="R4" s="16"/>
      <c r="S4" s="95">
        <v>0</v>
      </c>
      <c r="T4" s="22"/>
    </row>
    <row r="5" spans="2:20" ht="14.25" thickBot="1">
      <c r="B5" s="2" t="s">
        <v>39</v>
      </c>
      <c r="C5" s="42">
        <v>60</v>
      </c>
      <c r="D5" t="s">
        <v>136</v>
      </c>
      <c r="E5" s="100">
        <v>2</v>
      </c>
      <c r="F5" t="s">
        <v>104</v>
      </c>
      <c r="G5" s="82" t="s">
        <v>31</v>
      </c>
      <c r="H5" s="83" t="s">
        <v>32</v>
      </c>
      <c r="I5" s="5">
        <v>4.83</v>
      </c>
      <c r="J5" s="15" t="s">
        <v>3</v>
      </c>
      <c r="K5" s="82" t="s">
        <v>160</v>
      </c>
      <c r="L5" s="83" t="s">
        <v>159</v>
      </c>
      <c r="M5" s="5">
        <v>0.04</v>
      </c>
      <c r="N5" s="156" t="s">
        <v>162</v>
      </c>
      <c r="O5" s="160" t="s">
        <v>163</v>
      </c>
      <c r="P5" s="147">
        <v>0</v>
      </c>
      <c r="Q5" s="3" t="s">
        <v>157</v>
      </c>
      <c r="R5" s="16"/>
      <c r="S5" s="74">
        <v>10</v>
      </c>
      <c r="T5" s="23"/>
    </row>
    <row r="6" spans="2:20" ht="14.25" thickBot="1">
      <c r="B6" s="2"/>
      <c r="E6" s="119" t="s">
        <v>139</v>
      </c>
      <c r="G6" s="82" t="s">
        <v>33</v>
      </c>
      <c r="H6" s="83" t="s">
        <v>34</v>
      </c>
      <c r="I6" s="5">
        <v>1.085</v>
      </c>
      <c r="J6" s="15" t="s">
        <v>46</v>
      </c>
      <c r="K6" s="84" t="s">
        <v>161</v>
      </c>
      <c r="L6" s="85" t="s">
        <v>158</v>
      </c>
      <c r="M6" s="7">
        <v>2.81</v>
      </c>
      <c r="N6" s="40" t="s">
        <v>90</v>
      </c>
      <c r="O6" s="3" t="s">
        <v>164</v>
      </c>
      <c r="P6" s="3"/>
      <c r="Q6" s="3"/>
      <c r="R6" s="16"/>
      <c r="S6" s="74">
        <v>20</v>
      </c>
      <c r="T6" s="23"/>
    </row>
    <row r="7" spans="1:20" ht="14.25" thickBot="1">
      <c r="A7" t="s">
        <v>7</v>
      </c>
      <c r="B7" s="2" t="s">
        <v>8</v>
      </c>
      <c r="C7" s="25">
        <v>4.187324891533135</v>
      </c>
      <c r="D7" t="s">
        <v>144</v>
      </c>
      <c r="E7" s="120">
        <v>6</v>
      </c>
      <c r="F7" t="s">
        <v>140</v>
      </c>
      <c r="G7" s="84" t="s">
        <v>91</v>
      </c>
      <c r="H7" s="85" t="s">
        <v>92</v>
      </c>
      <c r="I7" s="7">
        <v>0.974</v>
      </c>
      <c r="J7" s="40" t="s">
        <v>93</v>
      </c>
      <c r="K7" s="3" t="s">
        <v>68</v>
      </c>
      <c r="O7" s="148" t="s">
        <v>165</v>
      </c>
      <c r="R7" s="16"/>
      <c r="S7" s="74">
        <v>30</v>
      </c>
      <c r="T7" s="23">
        <v>2.634900989905033</v>
      </c>
    </row>
    <row r="8" spans="1:20" ht="13.5">
      <c r="A8" t="s">
        <v>21</v>
      </c>
      <c r="B8" s="2" t="s">
        <v>23</v>
      </c>
      <c r="C8" s="26">
        <v>2.303427550805344</v>
      </c>
      <c r="D8" t="s">
        <v>145</v>
      </c>
      <c r="E8" s="121">
        <v>10</v>
      </c>
      <c r="F8" t="s">
        <v>141</v>
      </c>
      <c r="G8" s="36" t="s">
        <v>87</v>
      </c>
      <c r="H8" s="32">
        <v>2E-05</v>
      </c>
      <c r="I8" s="36" t="s">
        <v>89</v>
      </c>
      <c r="J8" s="31">
        <v>0.0398</v>
      </c>
      <c r="K8" s="36" t="s">
        <v>95</v>
      </c>
      <c r="L8" s="32">
        <v>-0.0126</v>
      </c>
      <c r="M8" s="36" t="s">
        <v>97</v>
      </c>
      <c r="N8" s="31">
        <v>0.00092</v>
      </c>
      <c r="O8" s="105"/>
      <c r="P8" s="105"/>
      <c r="Q8" s="105"/>
      <c r="R8" s="16"/>
      <c r="S8" s="74">
        <v>40</v>
      </c>
      <c r="T8" s="23">
        <v>3.236968588691045</v>
      </c>
    </row>
    <row r="9" spans="1:20" ht="14.25" thickBot="1">
      <c r="A9" t="s">
        <v>74</v>
      </c>
      <c r="B9" s="9" t="s">
        <v>75</v>
      </c>
      <c r="C9" s="123">
        <v>-5.330262259787903</v>
      </c>
      <c r="D9" t="s">
        <v>146</v>
      </c>
      <c r="E9" s="42">
        <v>-10</v>
      </c>
      <c r="F9" t="s">
        <v>141</v>
      </c>
      <c r="G9" s="38" t="s">
        <v>35</v>
      </c>
      <c r="H9" s="33">
        <v>0</v>
      </c>
      <c r="I9" s="38" t="s">
        <v>36</v>
      </c>
      <c r="J9" s="27">
        <v>0.00087</v>
      </c>
      <c r="K9" s="38" t="s">
        <v>37</v>
      </c>
      <c r="L9" s="33">
        <v>0.0009</v>
      </c>
      <c r="M9" s="38" t="s">
        <v>67</v>
      </c>
      <c r="N9" s="27">
        <v>-0.00115</v>
      </c>
      <c r="O9" s="105"/>
      <c r="P9" s="105"/>
      <c r="Q9" s="105"/>
      <c r="R9" s="16"/>
      <c r="S9" s="74">
        <v>50</v>
      </c>
      <c r="T9" s="23">
        <v>3.7314902377468333</v>
      </c>
    </row>
    <row r="10" spans="1:20" ht="14.25" thickBot="1">
      <c r="A10" t="s">
        <v>22</v>
      </c>
      <c r="B10" s="2" t="s">
        <v>24</v>
      </c>
      <c r="C10" s="210">
        <v>-20.80582419747161</v>
      </c>
      <c r="D10" t="s">
        <v>147</v>
      </c>
      <c r="E10" s="209">
        <v>-20</v>
      </c>
      <c r="F10" t="s">
        <v>141</v>
      </c>
      <c r="G10" s="154"/>
      <c r="H10" s="93" t="s">
        <v>99</v>
      </c>
      <c r="I10" s="38" t="s">
        <v>94</v>
      </c>
      <c r="J10" s="27">
        <v>5.4E-05</v>
      </c>
      <c r="K10" s="38" t="s">
        <v>96</v>
      </c>
      <c r="L10" s="33">
        <v>-2.2E-05</v>
      </c>
      <c r="M10" s="38" t="s">
        <v>98</v>
      </c>
      <c r="N10" s="27">
        <v>7E-06</v>
      </c>
      <c r="O10" s="105"/>
      <c r="P10" s="105"/>
      <c r="Q10" s="105"/>
      <c r="R10" s="16"/>
      <c r="S10" s="74">
        <v>60</v>
      </c>
      <c r="T10" s="23">
        <v>4.19071101721151</v>
      </c>
    </row>
    <row r="11" spans="2:20" ht="14.25" thickBot="1">
      <c r="B11" s="2" t="s">
        <v>24</v>
      </c>
      <c r="C11" s="211">
        <f>C10/57.3</f>
        <v>-0.3631033891356302</v>
      </c>
      <c r="D11" t="s">
        <v>72</v>
      </c>
      <c r="G11" s="38" t="s">
        <v>88</v>
      </c>
      <c r="H11" s="33">
        <v>-0.00012</v>
      </c>
      <c r="I11" s="38" t="s">
        <v>100</v>
      </c>
      <c r="J11" s="27">
        <v>-0.00666</v>
      </c>
      <c r="K11" s="38" t="s">
        <v>101</v>
      </c>
      <c r="L11" s="33">
        <v>0.00175</v>
      </c>
      <c r="M11" s="38" t="s">
        <v>102</v>
      </c>
      <c r="N11" s="27">
        <v>0.00442</v>
      </c>
      <c r="O11" s="105"/>
      <c r="P11" s="105"/>
      <c r="Q11" s="105"/>
      <c r="S11" s="74">
        <v>70</v>
      </c>
      <c r="T11" s="23"/>
    </row>
    <row r="12" spans="3:20" ht="14.25" thickBot="1">
      <c r="C12" s="94"/>
      <c r="D12" s="2" t="s">
        <v>199</v>
      </c>
      <c r="E12" s="12">
        <v>0.8</v>
      </c>
      <c r="G12" s="82"/>
      <c r="H12" s="6"/>
      <c r="I12" s="38"/>
      <c r="J12" s="27"/>
      <c r="K12" s="38"/>
      <c r="L12" s="33"/>
      <c r="M12" s="38"/>
      <c r="N12" s="27"/>
      <c r="O12" s="105"/>
      <c r="P12" s="105"/>
      <c r="Q12" s="105"/>
      <c r="S12" s="74">
        <v>80</v>
      </c>
      <c r="T12" s="23"/>
    </row>
    <row r="13" spans="1:20" ht="14.25" thickBot="1">
      <c r="A13" t="s">
        <v>70</v>
      </c>
      <c r="B13" s="2" t="s">
        <v>71</v>
      </c>
      <c r="C13" s="69">
        <f>-u*TAN(RADIANS(β))</f>
        <v>-0.16843123975364055</v>
      </c>
      <c r="D13" t="s">
        <v>12</v>
      </c>
      <c r="E13" s="237" t="s">
        <v>200</v>
      </c>
      <c r="G13" s="84"/>
      <c r="H13" s="8"/>
      <c r="I13" s="39"/>
      <c r="J13" s="34"/>
      <c r="K13" s="39"/>
      <c r="L13" s="35"/>
      <c r="M13" s="39"/>
      <c r="N13" s="34"/>
      <c r="O13" s="105"/>
      <c r="P13" s="105"/>
      <c r="Q13" s="105"/>
      <c r="S13" s="74">
        <v>90</v>
      </c>
      <c r="T13" s="23"/>
    </row>
    <row r="14" spans="1:20" ht="14.25" thickBot="1">
      <c r="A14" t="s">
        <v>83</v>
      </c>
      <c r="B14" s="9" t="s">
        <v>84</v>
      </c>
      <c r="C14" s="14">
        <f>-SIN(RADIANS(β))</f>
        <v>-0.04019156631461416</v>
      </c>
      <c r="G14" s="148"/>
      <c r="O14" s="28"/>
      <c r="P14" s="28"/>
      <c r="Q14" s="28"/>
      <c r="S14" s="74">
        <v>100</v>
      </c>
      <c r="T14" s="23"/>
    </row>
    <row r="15" spans="1:20" ht="14.25" thickBot="1">
      <c r="A15" t="s">
        <v>9</v>
      </c>
      <c r="B15" s="9" t="s">
        <v>41</v>
      </c>
      <c r="C15" s="56">
        <f>u/COS(RADIANS(β))</f>
        <v>4.19071101721151</v>
      </c>
      <c r="D15" t="s">
        <v>12</v>
      </c>
      <c r="G15" s="16"/>
      <c r="H15" s="16"/>
      <c r="I15" s="149"/>
      <c r="J15" s="150"/>
      <c r="N15" s="28" t="s">
        <v>149</v>
      </c>
      <c r="O15" s="28"/>
      <c r="P15" s="28"/>
      <c r="Q15" s="28"/>
      <c r="S15" s="74">
        <v>110</v>
      </c>
      <c r="T15" s="23"/>
    </row>
    <row r="16" spans="2:20" ht="14.25" thickBot="1">
      <c r="B16" s="9" t="s">
        <v>41</v>
      </c>
      <c r="C16" s="76">
        <f>VB/0.5144</f>
        <v>8.14679435694306</v>
      </c>
      <c r="D16" t="s">
        <v>63</v>
      </c>
      <c r="G16" s="151"/>
      <c r="H16" s="152"/>
      <c r="I16" s="16"/>
      <c r="J16" s="16"/>
      <c r="N16" s="28" t="s">
        <v>150</v>
      </c>
      <c r="O16" s="28"/>
      <c r="P16" s="28"/>
      <c r="Q16" s="28"/>
      <c r="S16" s="74">
        <v>120</v>
      </c>
      <c r="T16" s="23"/>
    </row>
    <row r="17" spans="2:20" ht="14.25" thickBot="1">
      <c r="B17" s="9"/>
      <c r="C17" s="30"/>
      <c r="G17" s="9" t="s">
        <v>61</v>
      </c>
      <c r="H17" s="28"/>
      <c r="I17" s="28"/>
      <c r="J17" s="28"/>
      <c r="K17" s="29" t="s">
        <v>62</v>
      </c>
      <c r="L17" s="28"/>
      <c r="M17" s="28"/>
      <c r="N17" s="28" t="s">
        <v>151</v>
      </c>
      <c r="O17" s="28"/>
      <c r="P17" s="28"/>
      <c r="Q17" s="28"/>
      <c r="R17" s="16"/>
      <c r="S17" s="74">
        <v>130</v>
      </c>
      <c r="T17" s="23"/>
    </row>
    <row r="18" spans="2:20" ht="14.25" thickBot="1">
      <c r="B18" s="61" t="s">
        <v>11</v>
      </c>
      <c r="C18" s="30"/>
      <c r="G18" s="36" t="s">
        <v>48</v>
      </c>
      <c r="H18" s="37">
        <f>0.01414604578*VB^6-0.2236708905*VB^5+1.1031101208*VB^4-1.6522958939*VB^3+1.6265511819*VB^2+0.4028634067*VB</f>
        <v>36.40016922722728</v>
      </c>
      <c r="I18" s="144" t="s">
        <v>49</v>
      </c>
      <c r="J18" s="28"/>
      <c r="K18" s="36" t="s">
        <v>40</v>
      </c>
      <c r="L18" s="37">
        <f>SQRT(UT^2+VB^2+2*UT*VB*COS(RADIANS(γT+β)))</f>
        <v>10.617288083280119</v>
      </c>
      <c r="M18" s="143" t="s">
        <v>42</v>
      </c>
      <c r="O18" s="28"/>
      <c r="P18" s="28"/>
      <c r="Q18" s="28"/>
      <c r="R18" s="16"/>
      <c r="S18" s="74">
        <v>140</v>
      </c>
      <c r="T18" s="23"/>
    </row>
    <row r="19" spans="1:20" ht="14.25" thickBot="1">
      <c r="A19" s="10" t="s">
        <v>10</v>
      </c>
      <c r="B19" s="70">
        <f>XH+XS</f>
        <v>0.0320686032142703</v>
      </c>
      <c r="G19" s="57"/>
      <c r="H19" s="58">
        <f>H18*9.807</f>
        <v>356.97645961141797</v>
      </c>
      <c r="I19" s="145" t="s">
        <v>50</v>
      </c>
      <c r="J19" s="28"/>
      <c r="K19" s="57" t="s">
        <v>43</v>
      </c>
      <c r="L19" s="127">
        <f>DEGREES(ASIN(UT*SIN(RADIANS(γT+β))/UA))-β</f>
        <v>39.54439776793455</v>
      </c>
      <c r="M19" s="65">
        <f>IF(UT*COS(RADIANS(γT))+u&gt;0,L19,180-L19)</f>
        <v>39.54439776793455</v>
      </c>
      <c r="N19" s="128" t="s">
        <v>25</v>
      </c>
      <c r="O19" s="30"/>
      <c r="P19" s="30"/>
      <c r="Q19" s="30"/>
      <c r="S19" s="74">
        <v>150</v>
      </c>
      <c r="T19" s="23"/>
    </row>
    <row r="20" spans="1:20" ht="14.25" thickBot="1">
      <c r="A20" s="62" t="s">
        <v>59</v>
      </c>
      <c r="B20" s="71">
        <f>YH+YS</f>
        <v>0.010185501707155709</v>
      </c>
      <c r="G20" s="59" t="s">
        <v>45</v>
      </c>
      <c r="H20" s="60">
        <f>rhow*VB^2*Ａ/2</f>
        <v>8766.540716354397</v>
      </c>
      <c r="I20" s="3"/>
      <c r="J20" s="28"/>
      <c r="K20" s="59" t="s">
        <v>44</v>
      </c>
      <c r="L20" s="60">
        <f>rho*UA^2*S/2</f>
        <v>858.9782635744185</v>
      </c>
      <c r="O20" s="9"/>
      <c r="P20" s="9"/>
      <c r="Q20" s="9"/>
      <c r="R20" s="16"/>
      <c r="S20" s="74">
        <v>160</v>
      </c>
      <c r="T20" s="23"/>
    </row>
    <row r="21" spans="1:20" ht="14.25" thickBot="1">
      <c r="A21" s="63" t="s">
        <v>60</v>
      </c>
      <c r="B21" s="217">
        <f>KH+KS+KHheel+CrewK</f>
        <v>0.0938687898653825</v>
      </c>
      <c r="G21" s="28" t="s">
        <v>78</v>
      </c>
      <c r="H21" s="28"/>
      <c r="I21" s="28"/>
      <c r="J21" s="28"/>
      <c r="K21" s="29" t="s">
        <v>20</v>
      </c>
      <c r="L21" s="28"/>
      <c r="R21" s="16"/>
      <c r="S21" s="74">
        <v>170</v>
      </c>
      <c r="T21" s="23"/>
    </row>
    <row r="22" spans="1:20" ht="14.25" thickBot="1">
      <c r="A22" s="64" t="s">
        <v>76</v>
      </c>
      <c r="B22" s="72">
        <f>NH+NS</f>
        <v>0.007481228412459018</v>
      </c>
      <c r="C22" s="16"/>
      <c r="G22" s="36" t="s">
        <v>79</v>
      </c>
      <c r="H22" s="66">
        <f>Xββ*β^2+Xφφ*φ^2+Xδδ*δ^2</f>
        <v>-0.0033032879213381267</v>
      </c>
      <c r="I22" s="18"/>
      <c r="J22" s="28"/>
      <c r="K22" s="36" t="s">
        <v>51</v>
      </c>
      <c r="L22" s="54">
        <f>0.00000000000070154874*γA^6-0.00000000056554722448*γA^5+0.00000017154229225379*γA^4-0.0000241366232034228*γA^3+0.00144330760528423*γA^2-0.0117197224004912*γA-0.0256900450138488</f>
        <v>0.6427620410680673</v>
      </c>
      <c r="R22" s="16"/>
      <c r="S22" s="74">
        <v>180</v>
      </c>
      <c r="T22" s="23"/>
    </row>
    <row r="23" spans="1:20" ht="14.25" thickBot="1">
      <c r="A23" s="16"/>
      <c r="B23" s="16"/>
      <c r="C23" s="3" t="s">
        <v>188</v>
      </c>
      <c r="E23" s="16"/>
      <c r="G23" s="38" t="s">
        <v>80</v>
      </c>
      <c r="H23" s="67">
        <f>Yβ*β+Yφ*φ+Yβββ*β^3+Ｙδ*δ</f>
        <v>0.10973485584244719</v>
      </c>
      <c r="I23" s="15"/>
      <c r="J23" s="28"/>
      <c r="K23" s="38" t="s">
        <v>52</v>
      </c>
      <c r="L23" s="55">
        <f>-(-0.00000000000640710456*γA^6+0.00000000399420965186*γA^5-0.0000009889533986501*γA^4+0.000125132651083166*γA^3-0.00860238602872698*γA^2+0.290405018528188*γA-2.11115887553081)</f>
        <v>-1.6020216170701307</v>
      </c>
      <c r="R23" s="16"/>
      <c r="S23" s="74">
        <v>190</v>
      </c>
      <c r="T23" s="23"/>
    </row>
    <row r="24" spans="1:20" ht="14.25" thickBot="1">
      <c r="A24" s="11" t="s">
        <v>77</v>
      </c>
      <c r="B24" s="12">
        <f>B19^2+B20^2+B21^2+B22^2</f>
        <v>0.009999458246491498</v>
      </c>
      <c r="C24" s="9" t="s">
        <v>187</v>
      </c>
      <c r="D24" s="69">
        <v>1.31</v>
      </c>
      <c r="E24" s="3" t="s">
        <v>157</v>
      </c>
      <c r="G24" s="38" t="s">
        <v>81</v>
      </c>
      <c r="H24" s="67">
        <f>Kβ*β+Kφ*φ+Kβββ*β^3+Kδ*δ</f>
        <v>-0.057345260351836944</v>
      </c>
      <c r="I24" s="15"/>
      <c r="K24" s="38" t="s">
        <v>167</v>
      </c>
      <c r="L24" s="161">
        <f>IF(γA&lt;135,(-0.00000009965035*γA^3+0.000031458541459*γA^2-0.00337534965035*γA+0.046693306693304),0.2)</f>
        <v>-0.043751443454163236</v>
      </c>
      <c r="M24" s="148" t="s">
        <v>166</v>
      </c>
      <c r="R24" s="16"/>
      <c r="S24" s="74">
        <v>200</v>
      </c>
      <c r="T24" s="23"/>
    </row>
    <row r="25" spans="3:20" ht="14.25" thickBot="1">
      <c r="C25" s="29" t="s">
        <v>184</v>
      </c>
      <c r="E25" s="16"/>
      <c r="G25" s="39" t="s">
        <v>82</v>
      </c>
      <c r="H25" s="68">
        <f>Nβ*β+Nφ*φ+Nβββ*β^3+Nδ*δ</f>
        <v>0.0025716423199050216</v>
      </c>
      <c r="I25" s="40"/>
      <c r="K25" s="39" t="s">
        <v>168</v>
      </c>
      <c r="L25" s="162">
        <f>IF(γA&lt;135,(0.000000007048711*γA^4-0.000002032685452*γA^3+0.000135658765254*γA^2-0.004006022164126*γA+0.0752747252752),0.6)</f>
        <v>0.020536131719613743</v>
      </c>
      <c r="M25" s="148" t="s">
        <v>166</v>
      </c>
      <c r="R25" s="16"/>
      <c r="S25" s="74">
        <v>210</v>
      </c>
      <c r="T25" s="23"/>
    </row>
    <row r="26" spans="3:20" ht="14.25" thickBot="1">
      <c r="C26" s="9" t="s">
        <v>185</v>
      </c>
      <c r="D26" s="215">
        <f>-disp*9.8*GM*SIN(φrad)</f>
        <v>1253.9345841095442</v>
      </c>
      <c r="E26" s="16" t="s">
        <v>186</v>
      </c>
      <c r="G26" s="28" t="s">
        <v>64</v>
      </c>
      <c r="H26" s="28"/>
      <c r="I26" s="28"/>
      <c r="J26" s="28"/>
      <c r="K26" s="29" t="s">
        <v>65</v>
      </c>
      <c r="L26" s="28"/>
      <c r="M26" s="28"/>
      <c r="R26" s="16"/>
      <c r="S26" s="74">
        <v>220</v>
      </c>
      <c r="T26" s="23"/>
    </row>
    <row r="27" spans="3:20" ht="14.25" thickBot="1">
      <c r="C27" s="16"/>
      <c r="E27" s="16"/>
      <c r="G27" s="36" t="s">
        <v>47</v>
      </c>
      <c r="H27" s="86">
        <f>-RT+XH0*waterco</f>
        <v>-385.9348676716703</v>
      </c>
      <c r="I27" s="18" t="s">
        <v>66</v>
      </c>
      <c r="J27" s="28"/>
      <c r="K27" s="36" t="s">
        <v>53</v>
      </c>
      <c r="L27" s="86">
        <f>Xs0*(COS(RADIANS(φ)))^2*airco*Powerdown</f>
        <v>385.9669362748846</v>
      </c>
      <c r="M27" s="18" t="s">
        <v>66</v>
      </c>
      <c r="R27" s="16"/>
      <c r="S27" s="74">
        <v>230</v>
      </c>
      <c r="T27" s="23"/>
    </row>
    <row r="28" spans="3:20" ht="13.5">
      <c r="C28" s="16" t="s">
        <v>148</v>
      </c>
      <c r="D28" s="142">
        <v>80</v>
      </c>
      <c r="E28" t="s">
        <v>135</v>
      </c>
      <c r="G28" s="38" t="s">
        <v>54</v>
      </c>
      <c r="H28" s="87">
        <f>YH0*waterco</f>
        <v>961.9950817460934</v>
      </c>
      <c r="I28" s="15" t="s">
        <v>66</v>
      </c>
      <c r="J28" s="28"/>
      <c r="K28" s="38" t="s">
        <v>56</v>
      </c>
      <c r="L28" s="87">
        <f>Ys0*(COS(RADIANS(φ)))^2*airco*Powerdown</f>
        <v>-961.9848962443863</v>
      </c>
      <c r="M28" s="15" t="s">
        <v>66</v>
      </c>
      <c r="R28" s="16"/>
      <c r="S28" s="74">
        <v>240</v>
      </c>
      <c r="T28" s="23"/>
    </row>
    <row r="29" spans="3:20" ht="14.25" thickBot="1">
      <c r="C29" s="213" t="s">
        <v>134</v>
      </c>
      <c r="D29" s="216">
        <v>1.7</v>
      </c>
      <c r="E29" s="125" t="s">
        <v>191</v>
      </c>
      <c r="G29" s="38" t="s">
        <v>55</v>
      </c>
      <c r="H29" s="87">
        <f>KH0*waterco*D</f>
        <v>-545.4507223442894</v>
      </c>
      <c r="I29" s="15" t="s">
        <v>13</v>
      </c>
      <c r="J29" s="28"/>
      <c r="K29" s="38" t="s">
        <v>57</v>
      </c>
      <c r="L29" s="218">
        <f>YS*(Gzce+⊿zce*SQRT(O4))*Powerdown</f>
        <v>-2042.5499929753896</v>
      </c>
      <c r="M29" s="15" t="s">
        <v>13</v>
      </c>
      <c r="R29" s="16"/>
      <c r="S29" s="74">
        <v>250</v>
      </c>
      <c r="T29" s="23"/>
    </row>
    <row r="30" spans="3:20" ht="14.25" thickBot="1">
      <c r="C30" s="214" t="s">
        <v>189</v>
      </c>
      <c r="D30" s="208">
        <f>D28*D29*9.81</f>
        <v>1334.16</v>
      </c>
      <c r="E30" t="s">
        <v>190</v>
      </c>
      <c r="G30" s="39" t="s">
        <v>73</v>
      </c>
      <c r="H30" s="88">
        <f>NH0*waterco*L</f>
        <v>108.88948631882818</v>
      </c>
      <c r="I30" s="40" t="s">
        <v>13</v>
      </c>
      <c r="K30" s="39" t="s">
        <v>69</v>
      </c>
      <c r="L30" s="88">
        <f>YS*(Gxce+Txce+⊿xce*SQRT(O4))</f>
        <v>-108.88200509041572</v>
      </c>
      <c r="M30" s="40" t="s">
        <v>13</v>
      </c>
      <c r="R30" s="16"/>
      <c r="S30" s="74">
        <v>260</v>
      </c>
      <c r="T30" s="23"/>
    </row>
    <row r="31" spans="3:20" ht="13.5">
      <c r="C31" s="125"/>
      <c r="F31" s="16"/>
      <c r="K31" s="153"/>
      <c r="R31" s="16"/>
      <c r="S31" s="74">
        <v>270</v>
      </c>
      <c r="T31" s="23"/>
    </row>
    <row r="32" spans="4:20" ht="14.25" thickBot="1">
      <c r="D32" s="125" t="s">
        <v>198</v>
      </c>
      <c r="R32" s="16"/>
      <c r="S32" s="74">
        <v>280</v>
      </c>
      <c r="T32" s="23"/>
    </row>
    <row r="33" spans="1:26" ht="13.5">
      <c r="A33" s="114" t="s">
        <v>106</v>
      </c>
      <c r="B33" s="113" t="s">
        <v>108</v>
      </c>
      <c r="C33" s="107" t="s">
        <v>110</v>
      </c>
      <c r="D33" s="186" t="s">
        <v>192</v>
      </c>
      <c r="E33" s="107" t="s">
        <v>111</v>
      </c>
      <c r="F33" s="107" t="s">
        <v>126</v>
      </c>
      <c r="G33" s="107" t="s">
        <v>112</v>
      </c>
      <c r="H33" s="219" t="s">
        <v>114</v>
      </c>
      <c r="I33" s="107" t="s">
        <v>115</v>
      </c>
      <c r="J33" s="107" t="s">
        <v>116</v>
      </c>
      <c r="K33" s="107" t="s">
        <v>117</v>
      </c>
      <c r="L33" s="107" t="s">
        <v>118</v>
      </c>
      <c r="M33" s="108" t="s">
        <v>120</v>
      </c>
      <c r="N33" s="108" t="s">
        <v>121</v>
      </c>
      <c r="O33" s="108" t="s">
        <v>123</v>
      </c>
      <c r="P33" s="219" t="s">
        <v>193</v>
      </c>
      <c r="Q33" s="109" t="s">
        <v>124</v>
      </c>
      <c r="R33" s="16"/>
      <c r="S33" s="74">
        <v>290</v>
      </c>
      <c r="T33" s="23"/>
      <c r="V33" s="114" t="s">
        <v>106</v>
      </c>
      <c r="W33" s="193" t="s">
        <v>175</v>
      </c>
      <c r="X33" s="186" t="s">
        <v>176</v>
      </c>
      <c r="Y33" s="187" t="s">
        <v>178</v>
      </c>
      <c r="Z33" s="144" t="s">
        <v>177</v>
      </c>
    </row>
    <row r="34" spans="1:26" ht="14.25" thickBot="1">
      <c r="A34" s="133" t="s">
        <v>107</v>
      </c>
      <c r="B34" s="134" t="s">
        <v>109</v>
      </c>
      <c r="C34" s="135" t="s">
        <v>107</v>
      </c>
      <c r="D34" s="212" t="s">
        <v>107</v>
      </c>
      <c r="E34" s="135" t="s">
        <v>107</v>
      </c>
      <c r="F34" s="135" t="s">
        <v>109</v>
      </c>
      <c r="G34" s="135" t="s">
        <v>113</v>
      </c>
      <c r="H34" s="220" t="s">
        <v>107</v>
      </c>
      <c r="I34" s="135" t="s">
        <v>109</v>
      </c>
      <c r="J34" s="135" t="s">
        <v>107</v>
      </c>
      <c r="K34" s="135"/>
      <c r="L34" s="135" t="s">
        <v>119</v>
      </c>
      <c r="M34" s="135" t="s">
        <v>119</v>
      </c>
      <c r="N34" s="135" t="s">
        <v>122</v>
      </c>
      <c r="O34" s="135" t="s">
        <v>122</v>
      </c>
      <c r="P34" s="220" t="s">
        <v>194</v>
      </c>
      <c r="Q34" s="136" t="s">
        <v>125</v>
      </c>
      <c r="R34" s="16"/>
      <c r="S34" s="74">
        <v>300</v>
      </c>
      <c r="T34" s="23">
        <v>4.19071101721151</v>
      </c>
      <c r="V34" s="198" t="s">
        <v>107</v>
      </c>
      <c r="W34" s="194"/>
      <c r="X34" s="191"/>
      <c r="Y34" s="191"/>
      <c r="Z34" s="192"/>
    </row>
    <row r="35" spans="1:26" ht="13.5">
      <c r="A35" s="142">
        <v>30</v>
      </c>
      <c r="B35" s="141">
        <v>2.624478187263648</v>
      </c>
      <c r="C35" s="137">
        <v>5.097896354450418</v>
      </c>
      <c r="D35" s="233">
        <v>-10.287423733814709</v>
      </c>
      <c r="E35" s="137">
        <v>-2.343312769344474</v>
      </c>
      <c r="F35" s="137">
        <v>2.634900989905033</v>
      </c>
      <c r="G35" s="137">
        <v>5.122280306969349</v>
      </c>
      <c r="H35" s="221">
        <v>35.09789635445042</v>
      </c>
      <c r="I35" s="137">
        <v>10.268178477292235</v>
      </c>
      <c r="J35" s="137">
        <v>21.51540580277723</v>
      </c>
      <c r="K35" s="138">
        <v>0.32936262373812913</v>
      </c>
      <c r="L35" s="139">
        <v>114.55834364578705</v>
      </c>
      <c r="M35" s="139">
        <v>-751.0503310697414</v>
      </c>
      <c r="N35" s="139">
        <v>-118.76098332922602</v>
      </c>
      <c r="O35" s="139">
        <v>-1661.8985891474522</v>
      </c>
      <c r="P35" s="221">
        <v>4.1909018464691465</v>
      </c>
      <c r="Q35" s="140">
        <v>0.009999420275598097</v>
      </c>
      <c r="R35" s="16"/>
      <c r="S35" s="74">
        <v>310</v>
      </c>
      <c r="T35" s="23">
        <v>3.7314902377468333</v>
      </c>
      <c r="V35" s="49">
        <v>30</v>
      </c>
      <c r="W35" s="195">
        <v>0.18410755539003937</v>
      </c>
      <c r="X35" s="190">
        <v>-1.2070185027785616</v>
      </c>
      <c r="Y35" s="21">
        <v>-0.012358645811619967</v>
      </c>
      <c r="Z35" s="22">
        <v>0.03314710386921718</v>
      </c>
    </row>
    <row r="36" spans="1:26" ht="13.5">
      <c r="A36" s="47">
        <v>32</v>
      </c>
      <c r="B36" s="129">
        <v>2.7623335870142345</v>
      </c>
      <c r="C36" s="130">
        <v>4.84384664565934</v>
      </c>
      <c r="D36" s="234">
        <v>-12.299924158002604</v>
      </c>
      <c r="E36" s="130">
        <v>-2.8805594029928647</v>
      </c>
      <c r="F36" s="130">
        <v>2.7722345354395657</v>
      </c>
      <c r="G36" s="130">
        <v>5.389258428148456</v>
      </c>
      <c r="H36" s="222">
        <v>36.84384664565934</v>
      </c>
      <c r="I36" s="130">
        <v>10.352873185509674</v>
      </c>
      <c r="J36" s="130">
        <v>22.76017816908411</v>
      </c>
      <c r="K36" s="106">
        <v>0.3465293169299457</v>
      </c>
      <c r="L36" s="115">
        <v>133.06333409197063</v>
      </c>
      <c r="M36" s="115">
        <v>-795.7118158199472</v>
      </c>
      <c r="N36" s="115">
        <v>-123.412845216428</v>
      </c>
      <c r="O36" s="115">
        <v>-1754.711929525486</v>
      </c>
      <c r="P36" s="222">
        <v>4.312878271080718</v>
      </c>
      <c r="Q36" s="110">
        <v>0.009999823915477076</v>
      </c>
      <c r="S36" s="74">
        <v>320</v>
      </c>
      <c r="T36" s="23">
        <v>3.236968588691045</v>
      </c>
      <c r="V36" s="47">
        <v>32</v>
      </c>
      <c r="W36" s="196">
        <v>0.21333482685347993</v>
      </c>
      <c r="X36" s="185">
        <v>-1.2757311667531699</v>
      </c>
      <c r="Y36" s="17">
        <v>-0.01500883269542698</v>
      </c>
      <c r="Z36" s="23">
        <v>0.03229711329388374</v>
      </c>
    </row>
    <row r="37" spans="1:26" ht="13.5">
      <c r="A37" s="47">
        <v>34</v>
      </c>
      <c r="B37" s="129">
        <v>2.8887192755824374</v>
      </c>
      <c r="C37" s="130">
        <v>4.606898366690454</v>
      </c>
      <c r="D37" s="234">
        <v>-14.009331170768023</v>
      </c>
      <c r="E37" s="130">
        <v>-3.340675246816236</v>
      </c>
      <c r="F37" s="130">
        <v>2.898082355587654</v>
      </c>
      <c r="G37" s="130">
        <v>5.6339081562746</v>
      </c>
      <c r="H37" s="222">
        <v>38.60689836669045</v>
      </c>
      <c r="I37" s="130">
        <v>10.42276206819423</v>
      </c>
      <c r="J37" s="130">
        <v>24.008744099111368</v>
      </c>
      <c r="K37" s="106">
        <v>0.36226029444845675</v>
      </c>
      <c r="L37" s="115">
        <v>151.78830752795056</v>
      </c>
      <c r="M37" s="115">
        <v>-833.0730642338551</v>
      </c>
      <c r="N37" s="115">
        <v>-126.84988250357154</v>
      </c>
      <c r="O37" s="115">
        <v>-1830.9700870433437</v>
      </c>
      <c r="P37" s="222">
        <v>4.402593343913255</v>
      </c>
      <c r="Q37" s="110">
        <v>0.009999773338516597</v>
      </c>
      <c r="S37" s="74">
        <v>330</v>
      </c>
      <c r="T37" s="23">
        <v>2.634900989905033</v>
      </c>
      <c r="V37" s="47">
        <v>34</v>
      </c>
      <c r="W37" s="196">
        <v>0.24347521462540878</v>
      </c>
      <c r="X37" s="185">
        <v>-1.3362863478508373</v>
      </c>
      <c r="Y37" s="17">
        <v>-0.01759034602851335</v>
      </c>
      <c r="Z37" s="23">
        <v>0.03150299649203686</v>
      </c>
    </row>
    <row r="38" spans="1:26" ht="13.5">
      <c r="A38" s="47">
        <v>36</v>
      </c>
      <c r="B38" s="129">
        <v>3.008256989499592</v>
      </c>
      <c r="C38" s="130">
        <v>4.3777547470862395</v>
      </c>
      <c r="D38" s="234">
        <v>-15.459474793204615</v>
      </c>
      <c r="E38" s="130">
        <v>-3.733256592749666</v>
      </c>
      <c r="F38" s="130">
        <v>3.0170593704447937</v>
      </c>
      <c r="G38" s="130">
        <v>5.865200953430781</v>
      </c>
      <c r="H38" s="222">
        <v>40.37775474708624</v>
      </c>
      <c r="I38" s="130">
        <v>10.482198824556859</v>
      </c>
      <c r="J38" s="130">
        <v>25.253660913513492</v>
      </c>
      <c r="K38" s="106">
        <v>0.3771324213055992</v>
      </c>
      <c r="L38" s="115">
        <v>170.62489189160894</v>
      </c>
      <c r="M38" s="115">
        <v>-864.2169627243611</v>
      </c>
      <c r="N38" s="115">
        <v>-129.28395921184088</v>
      </c>
      <c r="O38" s="115">
        <v>-1893.2635540262931</v>
      </c>
      <c r="P38" s="222">
        <v>4.468053019027761</v>
      </c>
      <c r="Q38" s="110">
        <v>0.00999945580858628</v>
      </c>
      <c r="S38" s="74">
        <v>340</v>
      </c>
      <c r="T38" s="23"/>
      <c r="V38" s="47">
        <v>36</v>
      </c>
      <c r="W38" s="196">
        <v>0.274221480483953</v>
      </c>
      <c r="X38" s="185">
        <v>-1.388934828619072</v>
      </c>
      <c r="Y38" s="17">
        <v>-0.020088940506709466</v>
      </c>
      <c r="Z38" s="23">
        <v>0.030753560523736283</v>
      </c>
    </row>
    <row r="39" spans="1:26" ht="14.25" thickBot="1">
      <c r="A39" s="47">
        <v>38</v>
      </c>
      <c r="B39" s="129">
        <v>3.1210185792064213</v>
      </c>
      <c r="C39" s="130">
        <v>4.160814632682829</v>
      </c>
      <c r="D39" s="234">
        <v>-16.675583519077176</v>
      </c>
      <c r="E39" s="130">
        <v>-4.064420294426175</v>
      </c>
      <c r="F39" s="130">
        <v>3.1292662843867523</v>
      </c>
      <c r="G39" s="130">
        <v>6.083332590176424</v>
      </c>
      <c r="H39" s="222">
        <v>42.16081463268283</v>
      </c>
      <c r="I39" s="130">
        <v>10.531196401637157</v>
      </c>
      <c r="J39" s="130">
        <v>26.495426217285836</v>
      </c>
      <c r="K39" s="106">
        <v>0.39115828554834403</v>
      </c>
      <c r="L39" s="115">
        <v>189.51133202044264</v>
      </c>
      <c r="M39" s="115">
        <v>-889.8829780819297</v>
      </c>
      <c r="N39" s="115">
        <v>-130.83753279820843</v>
      </c>
      <c r="O39" s="115">
        <v>-1943.3551464048055</v>
      </c>
      <c r="P39" s="222">
        <v>4.509356903564123</v>
      </c>
      <c r="Q39" s="110">
        <v>0.009999764817791303</v>
      </c>
      <c r="S39" s="75">
        <v>350</v>
      </c>
      <c r="T39" s="24"/>
      <c r="V39" s="47">
        <v>38</v>
      </c>
      <c r="W39" s="196">
        <v>0.30545959596489525</v>
      </c>
      <c r="X39" s="185">
        <v>-1.434337947197914</v>
      </c>
      <c r="Y39" s="17">
        <v>-0.0225073810054906</v>
      </c>
      <c r="Z39" s="23">
        <v>0.030032723722743376</v>
      </c>
    </row>
    <row r="40" spans="1:26" ht="13.5">
      <c r="A40" s="47">
        <v>40</v>
      </c>
      <c r="B40" s="129">
        <v>3.229272302076572</v>
      </c>
      <c r="C40" s="130">
        <v>3.9518012166770307</v>
      </c>
      <c r="D40" s="234">
        <v>-17.6915500954233</v>
      </c>
      <c r="E40" s="130">
        <v>-4.343947342950845</v>
      </c>
      <c r="F40" s="130">
        <v>3.236968588691045</v>
      </c>
      <c r="G40" s="130">
        <v>6.2927072097415335</v>
      </c>
      <c r="H40" s="222">
        <v>43.95180121667703</v>
      </c>
      <c r="I40" s="130">
        <v>10.571844826975328</v>
      </c>
      <c r="J40" s="130">
        <v>27.7304869008525</v>
      </c>
      <c r="K40" s="106">
        <v>0.4046210735863806</v>
      </c>
      <c r="L40" s="115">
        <v>208.38632378894405</v>
      </c>
      <c r="M40" s="115">
        <v>-910.8861394535949</v>
      </c>
      <c r="N40" s="115">
        <v>-131.6359901192867</v>
      </c>
      <c r="O40" s="115">
        <v>-1983.1629680152234</v>
      </c>
      <c r="P40" s="222">
        <v>4.530273217889088</v>
      </c>
      <c r="Q40" s="110">
        <v>0.009999075713958023</v>
      </c>
      <c r="V40" s="47">
        <v>40</v>
      </c>
      <c r="W40" s="196">
        <v>0.33698037736190783</v>
      </c>
      <c r="X40" s="185">
        <v>-1.4729889631225843</v>
      </c>
      <c r="Y40" s="17">
        <v>-0.02484075910078641</v>
      </c>
      <c r="Z40" s="23">
        <v>0.029327394312345753</v>
      </c>
    </row>
    <row r="41" spans="1:26" ht="13.5">
      <c r="A41" s="47">
        <v>42</v>
      </c>
      <c r="B41" s="129">
        <v>3.333744066906459</v>
      </c>
      <c r="C41" s="130">
        <v>3.7515602144496825</v>
      </c>
      <c r="D41" s="234">
        <v>-18.531915637240125</v>
      </c>
      <c r="E41" s="130">
        <v>-4.578036279645088</v>
      </c>
      <c r="F41" s="130">
        <v>3.3409031483328784</v>
      </c>
      <c r="G41" s="130">
        <v>6.4947572868057515</v>
      </c>
      <c r="H41" s="222">
        <v>45.75156021444968</v>
      </c>
      <c r="I41" s="130">
        <v>10.60474406489018</v>
      </c>
      <c r="J41" s="130">
        <v>28.95779625564837</v>
      </c>
      <c r="K41" s="106">
        <v>0.4176128935416098</v>
      </c>
      <c r="L41" s="115">
        <v>227.19744613023536</v>
      </c>
      <c r="M41" s="115">
        <v>-927.8300254379087</v>
      </c>
      <c r="N41" s="115">
        <v>-131.7580746623928</v>
      </c>
      <c r="O41" s="115">
        <v>-2014.1045329960632</v>
      </c>
      <c r="P41" s="222">
        <v>4.531856126235357</v>
      </c>
      <c r="Q41" s="110">
        <v>0.00999903293761094</v>
      </c>
      <c r="V41" s="47">
        <v>42</v>
      </c>
      <c r="W41" s="196">
        <v>0.36864383369748105</v>
      </c>
      <c r="X41" s="185">
        <v>-1.5054694646567315</v>
      </c>
      <c r="Y41" s="17">
        <v>-0.02708947317810026</v>
      </c>
      <c r="Z41" s="23">
        <v>0.02862376862546334</v>
      </c>
    </row>
    <row r="42" spans="1:26" ht="13.5">
      <c r="A42" s="47">
        <v>44</v>
      </c>
      <c r="B42" s="129">
        <v>3.4350612872511257</v>
      </c>
      <c r="C42" s="130">
        <v>3.5599493450282482</v>
      </c>
      <c r="D42" s="234">
        <v>-19.21688030931159</v>
      </c>
      <c r="E42" s="130">
        <v>-4.772182065411289</v>
      </c>
      <c r="F42" s="130">
        <v>3.4417024784026036</v>
      </c>
      <c r="G42" s="130">
        <v>6.690712438574269</v>
      </c>
      <c r="H42" s="222">
        <v>47.55994934502825</v>
      </c>
      <c r="I42" s="130">
        <v>10.630414070868637</v>
      </c>
      <c r="J42" s="130">
        <v>30.176626149162193</v>
      </c>
      <c r="K42" s="106">
        <v>0.43021280980032545</v>
      </c>
      <c r="L42" s="115">
        <v>245.90130811816414</v>
      </c>
      <c r="M42" s="115">
        <v>-941.2428158711351</v>
      </c>
      <c r="N42" s="115">
        <v>-131.26448010773555</v>
      </c>
      <c r="O42" s="115">
        <v>-2037.4104109289103</v>
      </c>
      <c r="P42" s="222">
        <v>4.51501942330555</v>
      </c>
      <c r="Q42" s="110">
        <v>0.00999943622958932</v>
      </c>
      <c r="V42" s="47">
        <v>44</v>
      </c>
      <c r="W42" s="196">
        <v>0.40032660264680636</v>
      </c>
      <c r="X42" s="185">
        <v>-1.5323405215979466</v>
      </c>
      <c r="Y42" s="17">
        <v>-0.029254667151042954</v>
      </c>
      <c r="Z42" s="23">
        <v>0.027908778443498886</v>
      </c>
    </row>
    <row r="43" spans="1:26" ht="13.5">
      <c r="A43" s="47">
        <v>46</v>
      </c>
      <c r="B43" s="129">
        <v>3.533991261455299</v>
      </c>
      <c r="C43" s="130">
        <v>3.3764401144429237</v>
      </c>
      <c r="D43" s="234">
        <v>-19.76601392177046</v>
      </c>
      <c r="E43" s="130">
        <v>-4.931247837273156</v>
      </c>
      <c r="F43" s="130">
        <v>3.5401364775709805</v>
      </c>
      <c r="G43" s="130">
        <v>6.882069357641876</v>
      </c>
      <c r="H43" s="222">
        <v>49.37644011444292</v>
      </c>
      <c r="I43" s="130">
        <v>10.64948450263693</v>
      </c>
      <c r="J43" s="130">
        <v>31.385723571755936</v>
      </c>
      <c r="K43" s="106">
        <v>0.44251705969637256</v>
      </c>
      <c r="L43" s="115">
        <v>264.4479119309607</v>
      </c>
      <c r="M43" s="115">
        <v>-951.5720441986741</v>
      </c>
      <c r="N43" s="115">
        <v>-130.2019086042788</v>
      </c>
      <c r="O43" s="115">
        <v>-2054.120667212454</v>
      </c>
      <c r="P43" s="222">
        <v>4.480825377422934</v>
      </c>
      <c r="Q43" s="110">
        <v>0.009999555018418593</v>
      </c>
      <c r="V43" s="47">
        <v>46</v>
      </c>
      <c r="W43" s="196">
        <v>0.43190030451820016</v>
      </c>
      <c r="X43" s="185">
        <v>-1.5541217650745116</v>
      </c>
      <c r="Y43" s="17">
        <v>-0.03133670231931447</v>
      </c>
      <c r="Z43" s="23">
        <v>0.02717065361355933</v>
      </c>
    </row>
    <row r="44" spans="1:26" ht="13.5">
      <c r="A44" s="47">
        <v>48</v>
      </c>
      <c r="B44" s="129">
        <v>3.630819409530373</v>
      </c>
      <c r="C44" s="130">
        <v>3.2011976103608406</v>
      </c>
      <c r="D44" s="234">
        <v>-20.19334833203057</v>
      </c>
      <c r="E44" s="130">
        <v>-5.059382365118919</v>
      </c>
      <c r="F44" s="130">
        <v>3.6364938047576683</v>
      </c>
      <c r="G44" s="130">
        <v>7.069389200539791</v>
      </c>
      <c r="H44" s="222">
        <v>51.20119761036084</v>
      </c>
      <c r="I44" s="130">
        <v>10.662147692771216</v>
      </c>
      <c r="J44" s="130">
        <v>32.58491226405014</v>
      </c>
      <c r="K44" s="106">
        <v>0.45456172559470853</v>
      </c>
      <c r="L44" s="115">
        <v>282.79444857692675</v>
      </c>
      <c r="M44" s="115">
        <v>-959.1763833608055</v>
      </c>
      <c r="N44" s="115">
        <v>-128.60129048784367</v>
      </c>
      <c r="O44" s="115">
        <v>-2065.0633720513997</v>
      </c>
      <c r="P44" s="222">
        <v>4.429595215067049</v>
      </c>
      <c r="Q44" s="110">
        <v>0.009999831071754664</v>
      </c>
      <c r="V44" s="47">
        <v>48</v>
      </c>
      <c r="W44" s="196">
        <v>0.4632733761518852</v>
      </c>
      <c r="X44" s="185">
        <v>-1.5713210909224715</v>
      </c>
      <c r="Y44" s="17">
        <v>-0.03333791752968546</v>
      </c>
      <c r="Z44" s="23">
        <v>0.026397998746900117</v>
      </c>
    </row>
    <row r="45" spans="1:26" ht="13.5">
      <c r="A45" s="170">
        <v>50</v>
      </c>
      <c r="B45" s="228">
        <v>3.7262633638768126</v>
      </c>
      <c r="C45" s="229">
        <v>3.0329705491310275</v>
      </c>
      <c r="D45" s="235">
        <v>-20.512875787255986</v>
      </c>
      <c r="E45" s="229">
        <v>-5.160204945888356</v>
      </c>
      <c r="F45" s="229">
        <v>3.7314902377468333</v>
      </c>
      <c r="G45" s="229">
        <v>7.254063448185913</v>
      </c>
      <c r="H45" s="222">
        <v>53.03297054913103</v>
      </c>
      <c r="I45" s="229">
        <v>10.668985212352192</v>
      </c>
      <c r="J45" s="229">
        <v>33.77292892828482</v>
      </c>
      <c r="K45" s="230">
        <v>0.46643627971835416</v>
      </c>
      <c r="L45" s="231">
        <v>300.89460070391334</v>
      </c>
      <c r="M45" s="231">
        <v>-964.3998950955577</v>
      </c>
      <c r="N45" s="231">
        <v>-126.49428073762219</v>
      </c>
      <c r="O45" s="231">
        <v>-2071.0276874331244</v>
      </c>
      <c r="P45" s="222">
        <v>4.362274416992298</v>
      </c>
      <c r="Q45" s="232">
        <v>0.009999002225749216</v>
      </c>
      <c r="V45" s="47">
        <v>50</v>
      </c>
      <c r="W45" s="196">
        <v>0.4943345479496159</v>
      </c>
      <c r="X45" s="185">
        <v>-1.5843959481806653</v>
      </c>
      <c r="Y45" s="17">
        <v>-0.0352588946396213</v>
      </c>
      <c r="Z45" s="23">
        <v>0.025581157555768605</v>
      </c>
    </row>
    <row r="46" spans="1:26" ht="13.5">
      <c r="A46" s="47">
        <v>52</v>
      </c>
      <c r="B46" s="129">
        <v>3.820095716703244</v>
      </c>
      <c r="C46" s="130">
        <v>2.873170325310507</v>
      </c>
      <c r="D46" s="234">
        <v>-20.73404920843366</v>
      </c>
      <c r="E46" s="130">
        <v>-5.2356240728251215</v>
      </c>
      <c r="F46" s="130">
        <v>3.824903855511563</v>
      </c>
      <c r="G46" s="130">
        <v>7.435660683342852</v>
      </c>
      <c r="H46" s="222">
        <v>54.873170325310504</v>
      </c>
      <c r="I46" s="130">
        <v>10.66971266656886</v>
      </c>
      <c r="J46" s="130">
        <v>34.95062534092033</v>
      </c>
      <c r="K46" s="106">
        <v>0.47811298193894536</v>
      </c>
      <c r="L46" s="115">
        <v>318.69853999055715</v>
      </c>
      <c r="M46" s="115">
        <v>-967.4367280101724</v>
      </c>
      <c r="N46" s="115">
        <v>-123.88926320761347</v>
      </c>
      <c r="O46" s="115">
        <v>-2072.4611077563072</v>
      </c>
      <c r="P46" s="222">
        <v>4.278397085631342</v>
      </c>
      <c r="Q46" s="110">
        <v>0.009999893269416173</v>
      </c>
      <c r="V46" s="47">
        <v>52</v>
      </c>
      <c r="W46" s="196">
        <v>0.525036230937213</v>
      </c>
      <c r="X46" s="185">
        <v>-1.5937924703380837</v>
      </c>
      <c r="Y46" s="17">
        <v>-0.03710366469485078</v>
      </c>
      <c r="Z46" s="23">
        <v>0.024710033421676506</v>
      </c>
    </row>
    <row r="47" spans="1:26" ht="13.5">
      <c r="A47" s="47">
        <v>54</v>
      </c>
      <c r="B47" s="129">
        <v>3.9129830430223294</v>
      </c>
      <c r="C47" s="130">
        <v>2.7204195721762314</v>
      </c>
      <c r="D47" s="234">
        <v>-20.86704426033022</v>
      </c>
      <c r="E47" s="130">
        <v>-5.288655587917727</v>
      </c>
      <c r="F47" s="130">
        <v>3.9173978590695113</v>
      </c>
      <c r="G47" s="130">
        <v>7.6154701770402635</v>
      </c>
      <c r="H47" s="222">
        <v>56.72041957217623</v>
      </c>
      <c r="I47" s="130">
        <v>10.66485755356285</v>
      </c>
      <c r="J47" s="130">
        <v>36.116700734372984</v>
      </c>
      <c r="K47" s="106">
        <v>0.4896747323836889</v>
      </c>
      <c r="L47" s="115">
        <v>336.15816197926284</v>
      </c>
      <c r="M47" s="115">
        <v>-968.5510857225956</v>
      </c>
      <c r="N47" s="115">
        <v>-120.8115672545918</v>
      </c>
      <c r="O47" s="115">
        <v>-2069.96316292671</v>
      </c>
      <c r="P47" s="222">
        <v>4.178803517067702</v>
      </c>
      <c r="Q47" s="110">
        <v>0.009999269378187257</v>
      </c>
      <c r="V47" s="47">
        <v>54</v>
      </c>
      <c r="W47" s="196">
        <v>0.555282624053974</v>
      </c>
      <c r="X47" s="185">
        <v>-1.5999004315223075</v>
      </c>
      <c r="Y47" s="17">
        <v>-0.03887280748099314</v>
      </c>
      <c r="Z47" s="23">
        <v>0.023777025351913117</v>
      </c>
    </row>
    <row r="48" spans="1:26" ht="13.5">
      <c r="A48" s="47">
        <v>56</v>
      </c>
      <c r="B48" s="129">
        <v>4.00497560496177</v>
      </c>
      <c r="C48" s="130">
        <v>2.574818074897379</v>
      </c>
      <c r="D48" s="234">
        <v>-20.919021553959336</v>
      </c>
      <c r="E48" s="130">
        <v>-5.321027529017559</v>
      </c>
      <c r="F48" s="130">
        <v>4.0090230718394935</v>
      </c>
      <c r="G48" s="130">
        <v>7.793590730636652</v>
      </c>
      <c r="H48" s="222">
        <v>58.57481807489738</v>
      </c>
      <c r="I48" s="130">
        <v>10.654396283360686</v>
      </c>
      <c r="J48" s="130">
        <v>37.271334580507016</v>
      </c>
      <c r="K48" s="106">
        <v>0.5011278839799367</v>
      </c>
      <c r="L48" s="115">
        <v>353.22394138403087</v>
      </c>
      <c r="M48" s="115">
        <v>-967.9081250581899</v>
      </c>
      <c r="N48" s="115">
        <v>-117.27299216705178</v>
      </c>
      <c r="O48" s="115">
        <v>-2063.9078278563325</v>
      </c>
      <c r="P48" s="222">
        <v>4.063464890863364</v>
      </c>
      <c r="Q48" s="110">
        <v>0.00999986944900569</v>
      </c>
      <c r="V48" s="47">
        <v>56</v>
      </c>
      <c r="W48" s="196">
        <v>0.5850241109781725</v>
      </c>
      <c r="X48" s="185">
        <v>-1.603089496572605</v>
      </c>
      <c r="Y48" s="17">
        <v>-0.04056922466098929</v>
      </c>
      <c r="Z48" s="23">
        <v>0.022774405751832177</v>
      </c>
    </row>
    <row r="49" spans="1:26" ht="13.5">
      <c r="A49" s="47">
        <v>58</v>
      </c>
      <c r="B49" s="129">
        <v>4.096369827692261</v>
      </c>
      <c r="C49" s="130">
        <v>2.435874215635729</v>
      </c>
      <c r="D49" s="234">
        <v>-20.896724432676592</v>
      </c>
      <c r="E49" s="130">
        <v>-5.334437031672449</v>
      </c>
      <c r="F49" s="130">
        <v>4.100074593840364</v>
      </c>
      <c r="G49" s="130">
        <v>7.97059602224021</v>
      </c>
      <c r="H49" s="222">
        <v>60.43587421563573</v>
      </c>
      <c r="I49" s="130">
        <v>10.638518096397988</v>
      </c>
      <c r="J49" s="130">
        <v>38.413984188960036</v>
      </c>
      <c r="K49" s="106">
        <v>0.5125093242300455</v>
      </c>
      <c r="L49" s="115">
        <v>369.84483409434284</v>
      </c>
      <c r="M49" s="115">
        <v>-965.6764637309736</v>
      </c>
      <c r="N49" s="115">
        <v>-113.29123557312381</v>
      </c>
      <c r="O49" s="115">
        <v>-2054.6740552208735</v>
      </c>
      <c r="P49" s="222">
        <v>3.9326772028591384</v>
      </c>
      <c r="Q49" s="110">
        <v>0.00999966762453914</v>
      </c>
      <c r="V49" s="47">
        <v>58</v>
      </c>
      <c r="W49" s="196">
        <v>0.6141995287433486</v>
      </c>
      <c r="X49" s="185">
        <v>-1.6036942367858256</v>
      </c>
      <c r="Y49" s="17">
        <v>-0.042194701242369445</v>
      </c>
      <c r="Z49" s="23">
        <v>0.021695955203309955</v>
      </c>
    </row>
    <row r="50" spans="1:26" ht="14.25" thickBot="1">
      <c r="A50" s="48">
        <v>60</v>
      </c>
      <c r="B50" s="131">
        <v>4.187324891533135</v>
      </c>
      <c r="C50" s="132">
        <v>2.303427550805344</v>
      </c>
      <c r="D50" s="236">
        <v>-20.80582419747161</v>
      </c>
      <c r="E50" s="132">
        <v>-5.330262259787903</v>
      </c>
      <c r="F50" s="132">
        <v>4.19071101721151</v>
      </c>
      <c r="G50" s="132">
        <v>8.14679435694306</v>
      </c>
      <c r="H50" s="223">
        <v>62.303427550805345</v>
      </c>
      <c r="I50" s="132">
        <v>10.617288083280119</v>
      </c>
      <c r="J50" s="132">
        <v>39.54439776793455</v>
      </c>
      <c r="K50" s="111">
        <v>0.5238388771514387</v>
      </c>
      <c r="L50" s="146">
        <v>385.9669362748846</v>
      </c>
      <c r="M50" s="146">
        <v>-961.9848962443863</v>
      </c>
      <c r="N50" s="146">
        <v>-108.88200509041572</v>
      </c>
      <c r="O50" s="146">
        <v>-2042.5499929753896</v>
      </c>
      <c r="P50" s="223">
        <v>3.786547669979569</v>
      </c>
      <c r="Q50" s="112">
        <v>0.009999458246491498</v>
      </c>
      <c r="V50" s="48">
        <v>60</v>
      </c>
      <c r="W50" s="197">
        <v>0.6427620410680673</v>
      </c>
      <c r="X50" s="188">
        <v>-1.6020216170701307</v>
      </c>
      <c r="Y50" s="189">
        <v>-0.043751443454163236</v>
      </c>
      <c r="Z50" s="24">
        <v>0.020536131719613743</v>
      </c>
    </row>
    <row r="51" spans="2:17" ht="13.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3"/>
    </row>
    <row r="52" spans="2:17" ht="13.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3"/>
    </row>
    <row r="53" spans="2:17" ht="13.5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3"/>
    </row>
    <row r="54" spans="2:17" ht="13.5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3"/>
    </row>
    <row r="55" spans="2:17" ht="13.5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3"/>
    </row>
    <row r="56" spans="2:17" ht="13.5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3"/>
    </row>
    <row r="57" spans="2:17" ht="13.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3"/>
    </row>
    <row r="58" spans="2:17" ht="13.5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3"/>
    </row>
    <row r="59" spans="2:17" ht="13.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3"/>
    </row>
    <row r="60" spans="2:17" ht="13.5"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3"/>
    </row>
    <row r="61" spans="2:17" ht="13.5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3"/>
    </row>
    <row r="62" spans="2:17" ht="13.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3"/>
    </row>
    <row r="63" spans="2:17" ht="13.5"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3"/>
    </row>
    <row r="64" spans="2:17" ht="13.5"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3"/>
    </row>
    <row r="65" spans="2:17" ht="13.5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3"/>
    </row>
    <row r="66" spans="2:17" ht="13.5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3"/>
    </row>
    <row r="67" spans="2:17" ht="13.5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3"/>
    </row>
    <row r="68" spans="2:17" ht="13.5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3"/>
    </row>
    <row r="69" spans="2:17" ht="13.5"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3"/>
    </row>
    <row r="70" spans="2:17" ht="13.5"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3"/>
    </row>
    <row r="71" spans="2:17" ht="13.5"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3"/>
    </row>
    <row r="72" spans="2:17" ht="13.5"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3"/>
    </row>
    <row r="73" spans="2:17" ht="13.5"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3"/>
    </row>
    <row r="74" spans="2:17" ht="13.5"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3"/>
    </row>
    <row r="75" spans="2:17" ht="13.5"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3"/>
    </row>
    <row r="76" spans="2:17" ht="13.5"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3"/>
    </row>
    <row r="77" spans="2:17" ht="13.5"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3"/>
    </row>
    <row r="78" spans="2:17" ht="13.5"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3"/>
    </row>
    <row r="79" spans="2:17" ht="13.5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3"/>
    </row>
    <row r="80" spans="2:17" ht="13.5"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3"/>
    </row>
    <row r="81" spans="2:17" ht="13.5"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3"/>
    </row>
    <row r="82" spans="2:17" ht="13.5"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3"/>
    </row>
    <row r="83" spans="2:17" ht="13.5"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3"/>
    </row>
    <row r="84" spans="2:17" ht="13.5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3"/>
    </row>
    <row r="85" spans="2:17" ht="13.5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3"/>
    </row>
    <row r="86" spans="2:17" ht="13.5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3"/>
    </row>
    <row r="87" spans="2:17" ht="13.5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3"/>
    </row>
    <row r="88" spans="2:17" ht="13.5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3"/>
    </row>
    <row r="89" spans="2:17" ht="13.5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2:17" ht="13.5"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</row>
    <row r="91" spans="2:17" ht="13.5"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</row>
    <row r="92" spans="2:17" ht="13.5"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</row>
    <row r="93" spans="2:17" ht="13.5"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</row>
    <row r="94" spans="2:17" ht="13.5"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</row>
    <row r="95" spans="2:17" ht="13.5"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</row>
    <row r="96" spans="2:17" ht="13.5"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</row>
    <row r="97" spans="2:17" ht="13.5"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</row>
  </sheetData>
  <printOptions/>
  <pageMargins left="0.76" right="0.54" top="0.94" bottom="0.24" header="0.5118110236220472" footer="0.13"/>
  <pageSetup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N44"/>
  <sheetViews>
    <sheetView zoomScale="75" zoomScaleNormal="75" workbookViewId="0" topLeftCell="A1">
      <selection activeCell="B27" sqref="B27"/>
    </sheetView>
  </sheetViews>
  <sheetFormatPr defaultColWidth="9.00390625" defaultRowHeight="13.5"/>
  <cols>
    <col min="11" max="11" width="7.125" style="0" customWidth="1"/>
    <col min="14" max="14" width="9.75390625" style="0" customWidth="1"/>
  </cols>
  <sheetData>
    <row r="2" ht="13.5">
      <c r="A2" s="148" t="s">
        <v>196</v>
      </c>
    </row>
    <row r="3" spans="1:13" ht="14.25" thickBot="1">
      <c r="A3" s="19" t="s">
        <v>152</v>
      </c>
      <c r="H3" s="19" t="s">
        <v>153</v>
      </c>
      <c r="M3" t="s">
        <v>169</v>
      </c>
    </row>
    <row r="4" spans="1:14" ht="14.25" thickBot="1">
      <c r="A4" s="90" t="s">
        <v>15</v>
      </c>
      <c r="B4" s="91" t="s">
        <v>16</v>
      </c>
      <c r="H4" s="51" t="s">
        <v>17</v>
      </c>
      <c r="I4" s="52" t="s">
        <v>18</v>
      </c>
      <c r="J4" s="20" t="s">
        <v>19</v>
      </c>
      <c r="L4" s="163" t="s">
        <v>170</v>
      </c>
      <c r="M4" s="164" t="s">
        <v>171</v>
      </c>
      <c r="N4" s="165" t="s">
        <v>172</v>
      </c>
    </row>
    <row r="5" spans="1:14" ht="13.5">
      <c r="A5" s="73">
        <v>0</v>
      </c>
      <c r="B5" s="224">
        <v>0</v>
      </c>
      <c r="H5" s="49">
        <v>10</v>
      </c>
      <c r="I5" s="50">
        <v>-0.04</v>
      </c>
      <c r="J5" s="21">
        <v>0</v>
      </c>
      <c r="K5" s="238" t="s">
        <v>173</v>
      </c>
      <c r="L5" s="142">
        <v>20</v>
      </c>
      <c r="M5" s="166">
        <v>0.035</v>
      </c>
      <c r="N5" s="167">
        <v>0</v>
      </c>
    </row>
    <row r="6" spans="1:14" ht="13.5">
      <c r="A6" s="89">
        <v>0.5</v>
      </c>
      <c r="B6" s="225">
        <v>0.4762698528546623</v>
      </c>
      <c r="H6" s="47">
        <v>20</v>
      </c>
      <c r="I6" s="44">
        <v>0.19</v>
      </c>
      <c r="J6" s="17">
        <v>1.25</v>
      </c>
      <c r="K6" s="239"/>
      <c r="L6" s="47">
        <v>30</v>
      </c>
      <c r="M6" s="168">
        <v>0.03</v>
      </c>
      <c r="N6" s="169">
        <v>-0.04</v>
      </c>
    </row>
    <row r="7" spans="1:14" ht="13.5">
      <c r="A7" s="89">
        <v>1</v>
      </c>
      <c r="B7" s="225">
        <v>1.2574261236560695</v>
      </c>
      <c r="H7" s="47">
        <v>30</v>
      </c>
      <c r="I7" s="44">
        <v>0.405</v>
      </c>
      <c r="J7" s="17">
        <v>1.47</v>
      </c>
      <c r="K7" s="239"/>
      <c r="L7" s="47">
        <v>40</v>
      </c>
      <c r="M7" s="168">
        <v>0.015</v>
      </c>
      <c r="N7" s="169">
        <v>-0.05</v>
      </c>
    </row>
    <row r="8" spans="1:14" ht="13.5">
      <c r="A8" s="89">
        <v>1.5</v>
      </c>
      <c r="B8" s="225">
        <v>2.7277450649326758</v>
      </c>
      <c r="H8" s="47">
        <v>40</v>
      </c>
      <c r="I8" s="44">
        <v>0.625</v>
      </c>
      <c r="J8" s="17">
        <v>1.51</v>
      </c>
      <c r="K8" s="239"/>
      <c r="L8" s="47">
        <v>50</v>
      </c>
      <c r="M8" s="168">
        <v>0</v>
      </c>
      <c r="N8" s="169">
        <v>-0.055</v>
      </c>
    </row>
    <row r="9" spans="1:14" ht="13.5">
      <c r="A9" s="89">
        <v>2</v>
      </c>
      <c r="B9" s="225">
        <v>5.380498651375553</v>
      </c>
      <c r="H9" s="47">
        <v>50</v>
      </c>
      <c r="I9" s="44">
        <v>0.85</v>
      </c>
      <c r="J9" s="17">
        <v>1.49</v>
      </c>
      <c r="K9" s="239"/>
      <c r="L9" s="170">
        <v>60</v>
      </c>
      <c r="M9" s="168">
        <v>-0.02</v>
      </c>
      <c r="N9" s="169">
        <v>-0.06</v>
      </c>
    </row>
    <row r="10" spans="1:14" ht="13.5">
      <c r="A10" s="89">
        <v>2.5</v>
      </c>
      <c r="B10" s="225">
        <v>10.31144000570136</v>
      </c>
      <c r="H10" s="47">
        <v>60</v>
      </c>
      <c r="I10" s="44">
        <v>1.055</v>
      </c>
      <c r="J10" s="17">
        <v>1.425</v>
      </c>
      <c r="K10" s="239"/>
      <c r="L10" s="170">
        <v>70</v>
      </c>
      <c r="M10" s="168">
        <v>-0.06</v>
      </c>
      <c r="N10" s="169">
        <v>-0.065</v>
      </c>
    </row>
    <row r="11" spans="1:14" ht="13.5">
      <c r="A11" s="89">
        <v>3</v>
      </c>
      <c r="B11" s="225">
        <v>16.8175149708536</v>
      </c>
      <c r="H11" s="47">
        <v>70</v>
      </c>
      <c r="I11" s="44">
        <v>1.24</v>
      </c>
      <c r="J11" s="17">
        <v>1.28</v>
      </c>
      <c r="K11" s="239"/>
      <c r="L11" s="170">
        <v>80</v>
      </c>
      <c r="M11" s="168">
        <v>-0.13</v>
      </c>
      <c r="N11" s="169">
        <v>-0.07</v>
      </c>
    </row>
    <row r="12" spans="1:14" ht="13.5">
      <c r="A12" s="89">
        <v>3.5</v>
      </c>
      <c r="B12" s="225">
        <v>23.39636484824305</v>
      </c>
      <c r="H12" s="47">
        <v>80</v>
      </c>
      <c r="I12" s="44">
        <v>1.32</v>
      </c>
      <c r="J12" s="17">
        <v>1.05</v>
      </c>
      <c r="K12" s="239"/>
      <c r="L12" s="170">
        <v>90</v>
      </c>
      <c r="M12" s="168">
        <v>-0.21</v>
      </c>
      <c r="N12" s="169">
        <v>-0.075</v>
      </c>
    </row>
    <row r="13" spans="1:14" ht="14.25" thickBot="1">
      <c r="A13" s="126">
        <v>4</v>
      </c>
      <c r="B13" s="226">
        <v>34.04608314597728</v>
      </c>
      <c r="H13" s="47">
        <v>90</v>
      </c>
      <c r="I13" s="44">
        <v>1.32</v>
      </c>
      <c r="J13" s="17">
        <v>0.8</v>
      </c>
      <c r="K13" s="240"/>
      <c r="L13" s="171">
        <v>100</v>
      </c>
      <c r="M13" s="172">
        <v>-0.3</v>
      </c>
      <c r="N13" s="173">
        <v>-0.078</v>
      </c>
    </row>
    <row r="14" spans="1:14" ht="13.5">
      <c r="A14" s="126">
        <v>4.5</v>
      </c>
      <c r="B14" s="226">
        <v>41.76507914182608</v>
      </c>
      <c r="H14" s="47">
        <v>100</v>
      </c>
      <c r="I14" s="44">
        <v>1.27</v>
      </c>
      <c r="J14" s="17">
        <v>0.62</v>
      </c>
      <c r="K14" s="238" t="s">
        <v>174</v>
      </c>
      <c r="L14" s="142">
        <v>110</v>
      </c>
      <c r="M14" s="166">
        <v>-0.4</v>
      </c>
      <c r="N14" s="167">
        <v>-0.079</v>
      </c>
    </row>
    <row r="15" spans="1:14" ht="14.25">
      <c r="A15" s="126">
        <v>5</v>
      </c>
      <c r="B15" s="226">
        <v>46.55199406392487</v>
      </c>
      <c r="H15" s="47">
        <v>110</v>
      </c>
      <c r="I15" s="45">
        <v>1.2</v>
      </c>
      <c r="J15" s="43">
        <v>0.5</v>
      </c>
      <c r="K15" s="239"/>
      <c r="L15" s="47">
        <v>120</v>
      </c>
      <c r="M15" s="168">
        <v>-0.5</v>
      </c>
      <c r="N15" s="174">
        <v>-0.08</v>
      </c>
    </row>
    <row r="16" spans="1:14" ht="13.5">
      <c r="A16" s="126">
        <v>5.5</v>
      </c>
      <c r="B16" s="226">
        <v>52.40564610973979</v>
      </c>
      <c r="H16" s="47">
        <v>120</v>
      </c>
      <c r="I16" s="45">
        <v>1.24</v>
      </c>
      <c r="J16" s="43">
        <v>0.3</v>
      </c>
      <c r="K16" s="239"/>
      <c r="L16" s="47">
        <v>130</v>
      </c>
      <c r="M16" s="168">
        <v>-0.6</v>
      </c>
      <c r="N16" s="169">
        <v>-0.08</v>
      </c>
    </row>
    <row r="17" spans="1:14" ht="14.25" thickBot="1">
      <c r="A17" s="92">
        <v>6</v>
      </c>
      <c r="B17" s="227">
        <v>54.32499254609207</v>
      </c>
      <c r="H17" s="47">
        <v>130</v>
      </c>
      <c r="I17" s="45">
        <v>1.23</v>
      </c>
      <c r="J17" s="43">
        <v>0.1</v>
      </c>
      <c r="K17" s="239"/>
      <c r="L17" s="175">
        <v>140</v>
      </c>
      <c r="M17" s="176">
        <v>-0.7</v>
      </c>
      <c r="N17" s="177">
        <v>-0.08</v>
      </c>
    </row>
    <row r="18" spans="8:14" ht="13.5">
      <c r="H18" s="47">
        <v>140</v>
      </c>
      <c r="I18" s="45">
        <v>1.18</v>
      </c>
      <c r="J18" s="43">
        <v>-0.03</v>
      </c>
      <c r="K18" s="239"/>
      <c r="L18" s="178">
        <v>140</v>
      </c>
      <c r="M18" s="179">
        <v>0.6</v>
      </c>
      <c r="N18" s="180">
        <v>0.2</v>
      </c>
    </row>
    <row r="19" spans="8:14" ht="13.5">
      <c r="H19" s="47">
        <v>150</v>
      </c>
      <c r="I19" s="45">
        <v>1.125</v>
      </c>
      <c r="J19" s="43">
        <v>-0.1</v>
      </c>
      <c r="K19" s="239"/>
      <c r="L19" s="170">
        <v>150</v>
      </c>
      <c r="M19" s="181">
        <v>0.6</v>
      </c>
      <c r="N19" s="182">
        <v>0.2</v>
      </c>
    </row>
    <row r="20" spans="8:14" ht="13.5">
      <c r="H20" s="47">
        <v>160</v>
      </c>
      <c r="I20" s="45">
        <v>1.06</v>
      </c>
      <c r="J20" s="43">
        <v>-0.115</v>
      </c>
      <c r="K20" s="239"/>
      <c r="L20" s="170">
        <v>160</v>
      </c>
      <c r="M20" s="181">
        <v>0.6</v>
      </c>
      <c r="N20" s="182">
        <v>0.2</v>
      </c>
    </row>
    <row r="21" spans="8:14" ht="13.5">
      <c r="H21" s="47">
        <v>170</v>
      </c>
      <c r="I21" s="45">
        <v>1</v>
      </c>
      <c r="J21" s="43">
        <v>-0.115</v>
      </c>
      <c r="K21" s="239"/>
      <c r="L21" s="170">
        <v>170</v>
      </c>
      <c r="M21" s="181">
        <v>0.6</v>
      </c>
      <c r="N21" s="182">
        <v>0.2</v>
      </c>
    </row>
    <row r="22" spans="8:14" ht="14.25" thickBot="1">
      <c r="H22" s="48">
        <v>180</v>
      </c>
      <c r="I22" s="46">
        <v>0.95</v>
      </c>
      <c r="J22" s="41">
        <v>-0.12</v>
      </c>
      <c r="K22" s="240"/>
      <c r="L22" s="171">
        <v>180</v>
      </c>
      <c r="M22" s="183">
        <v>0.6</v>
      </c>
      <c r="N22" s="184">
        <v>0.2</v>
      </c>
    </row>
    <row r="23" ht="14.25" thickBot="1">
      <c r="N23" t="s">
        <v>181</v>
      </c>
    </row>
    <row r="24" spans="13:14" ht="14.25" thickBot="1">
      <c r="M24" s="59" t="s">
        <v>179</v>
      </c>
      <c r="N24" s="207">
        <f>SQRT('釣合計算'!O4)</f>
        <v>3.5637059362410923</v>
      </c>
    </row>
    <row r="25" ht="14.25" thickBot="1">
      <c r="M25" t="s">
        <v>180</v>
      </c>
    </row>
    <row r="26" spans="12:14" ht="14.25" thickBot="1">
      <c r="L26" s="163" t="s">
        <v>170</v>
      </c>
      <c r="M26" s="164" t="s">
        <v>182</v>
      </c>
      <c r="N26" s="165" t="s">
        <v>183</v>
      </c>
    </row>
    <row r="27" spans="11:14" ht="13.5">
      <c r="K27" s="238" t="s">
        <v>173</v>
      </c>
      <c r="L27" s="199">
        <v>20</v>
      </c>
      <c r="M27" s="166">
        <f>M5*$N$24</f>
        <v>0.12472970776843824</v>
      </c>
      <c r="N27" s="167">
        <f>N5*$N$24</f>
        <v>0</v>
      </c>
    </row>
    <row r="28" spans="11:14" ht="13.5">
      <c r="K28" s="239"/>
      <c r="L28" s="200">
        <v>30</v>
      </c>
      <c r="M28" s="168">
        <f aca="true" t="shared" si="0" ref="M28:N44">M6*$N$24</f>
        <v>0.10691117808723277</v>
      </c>
      <c r="N28" s="169">
        <f t="shared" si="0"/>
        <v>-0.1425482374496437</v>
      </c>
    </row>
    <row r="29" spans="11:14" ht="13.5">
      <c r="K29" s="239"/>
      <c r="L29" s="200">
        <v>40</v>
      </c>
      <c r="M29" s="168">
        <f t="shared" si="0"/>
        <v>0.053455589043616386</v>
      </c>
      <c r="N29" s="169">
        <f t="shared" si="0"/>
        <v>-0.17818529681205464</v>
      </c>
    </row>
    <row r="30" spans="11:14" ht="13.5">
      <c r="K30" s="239"/>
      <c r="L30" s="200">
        <v>50</v>
      </c>
      <c r="M30" s="168">
        <f t="shared" si="0"/>
        <v>0</v>
      </c>
      <c r="N30" s="169">
        <f t="shared" si="0"/>
        <v>-0.1960038264932601</v>
      </c>
    </row>
    <row r="31" spans="11:14" ht="13.5">
      <c r="K31" s="239"/>
      <c r="L31" s="201">
        <v>60</v>
      </c>
      <c r="M31" s="168">
        <f t="shared" si="0"/>
        <v>-0.07127411872482185</v>
      </c>
      <c r="N31" s="169">
        <f t="shared" si="0"/>
        <v>-0.21382235617446554</v>
      </c>
    </row>
    <row r="32" spans="11:14" ht="13.5">
      <c r="K32" s="239"/>
      <c r="L32" s="201">
        <v>70</v>
      </c>
      <c r="M32" s="168">
        <f t="shared" si="0"/>
        <v>-0.21382235617446554</v>
      </c>
      <c r="N32" s="169">
        <f t="shared" si="0"/>
        <v>-0.231640885855671</v>
      </c>
    </row>
    <row r="33" spans="11:14" ht="13.5">
      <c r="K33" s="239"/>
      <c r="L33" s="201">
        <v>80</v>
      </c>
      <c r="M33" s="168">
        <f t="shared" si="0"/>
        <v>-0.463281771711342</v>
      </c>
      <c r="N33" s="169">
        <f t="shared" si="0"/>
        <v>-0.24945941553687648</v>
      </c>
    </row>
    <row r="34" spans="11:14" ht="13.5">
      <c r="K34" s="239"/>
      <c r="L34" s="201">
        <v>90</v>
      </c>
      <c r="M34" s="168">
        <f t="shared" si="0"/>
        <v>-0.7483782466106293</v>
      </c>
      <c r="N34" s="169">
        <f t="shared" si="0"/>
        <v>-0.2672779452180819</v>
      </c>
    </row>
    <row r="35" spans="11:14" ht="14.25" thickBot="1">
      <c r="K35" s="240"/>
      <c r="L35" s="202">
        <v>100</v>
      </c>
      <c r="M35" s="172">
        <f t="shared" si="0"/>
        <v>-1.0691117808723276</v>
      </c>
      <c r="N35" s="173">
        <f t="shared" si="0"/>
        <v>-0.2779690630268052</v>
      </c>
    </row>
    <row r="36" spans="11:14" ht="13.5">
      <c r="K36" s="238" t="s">
        <v>174</v>
      </c>
      <c r="L36" s="199">
        <v>110</v>
      </c>
      <c r="M36" s="166">
        <f t="shared" si="0"/>
        <v>-1.425482374496437</v>
      </c>
      <c r="N36" s="167">
        <f t="shared" si="0"/>
        <v>-0.2815327689630463</v>
      </c>
    </row>
    <row r="37" spans="11:14" ht="13.5">
      <c r="K37" s="239"/>
      <c r="L37" s="200">
        <v>120</v>
      </c>
      <c r="M37" s="168">
        <f t="shared" si="0"/>
        <v>-1.7818529681205462</v>
      </c>
      <c r="N37" s="169">
        <f t="shared" si="0"/>
        <v>-0.2850964748992874</v>
      </c>
    </row>
    <row r="38" spans="11:14" ht="13.5">
      <c r="K38" s="239"/>
      <c r="L38" s="200">
        <v>130</v>
      </c>
      <c r="M38" s="168">
        <f t="shared" si="0"/>
        <v>-2.138223561744655</v>
      </c>
      <c r="N38" s="169">
        <f t="shared" si="0"/>
        <v>-0.2850964748992874</v>
      </c>
    </row>
    <row r="39" spans="11:14" ht="14.25" thickBot="1">
      <c r="K39" s="239"/>
      <c r="L39" s="203">
        <v>140</v>
      </c>
      <c r="M39" s="172">
        <f t="shared" si="0"/>
        <v>-2.4945941553687643</v>
      </c>
      <c r="N39" s="173">
        <f t="shared" si="0"/>
        <v>-0.2850964748992874</v>
      </c>
    </row>
    <row r="40" spans="11:14" ht="13.5">
      <c r="K40" s="239"/>
      <c r="L40" s="204">
        <v>140</v>
      </c>
      <c r="M40" s="205">
        <f t="shared" si="0"/>
        <v>2.138223561744655</v>
      </c>
      <c r="N40" s="206">
        <f t="shared" si="0"/>
        <v>0.7127411872482186</v>
      </c>
    </row>
    <row r="41" spans="11:14" ht="13.5">
      <c r="K41" s="239"/>
      <c r="L41" s="201">
        <v>150</v>
      </c>
      <c r="M41" s="168">
        <f t="shared" si="0"/>
        <v>2.138223561744655</v>
      </c>
      <c r="N41" s="169">
        <f t="shared" si="0"/>
        <v>0.7127411872482186</v>
      </c>
    </row>
    <row r="42" spans="11:14" ht="13.5">
      <c r="K42" s="239"/>
      <c r="L42" s="201">
        <v>160</v>
      </c>
      <c r="M42" s="168">
        <f t="shared" si="0"/>
        <v>2.138223561744655</v>
      </c>
      <c r="N42" s="169">
        <f t="shared" si="0"/>
        <v>0.7127411872482186</v>
      </c>
    </row>
    <row r="43" spans="11:14" ht="13.5">
      <c r="K43" s="239"/>
      <c r="L43" s="201">
        <v>170</v>
      </c>
      <c r="M43" s="168">
        <f t="shared" si="0"/>
        <v>2.138223561744655</v>
      </c>
      <c r="N43" s="169">
        <f t="shared" si="0"/>
        <v>0.7127411872482186</v>
      </c>
    </row>
    <row r="44" spans="11:14" ht="14.25" thickBot="1">
      <c r="K44" s="240"/>
      <c r="L44" s="202">
        <v>180</v>
      </c>
      <c r="M44" s="172">
        <f t="shared" si="0"/>
        <v>2.138223561744655</v>
      </c>
      <c r="N44" s="173">
        <f t="shared" si="0"/>
        <v>0.7127411872482186</v>
      </c>
    </row>
  </sheetData>
  <mergeCells count="4">
    <mergeCell ref="K5:K13"/>
    <mergeCell ref="K14:K22"/>
    <mergeCell ref="K27:K35"/>
    <mergeCell ref="K36:K44"/>
  </mergeCells>
  <printOptions/>
  <pageMargins left="1.08" right="0.52" top="0.81" bottom="0.49" header="0.34" footer="0.31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D11"/>
  <sheetViews>
    <sheetView workbookViewId="0" topLeftCell="A1">
      <selection activeCell="M11" sqref="M11"/>
    </sheetView>
  </sheetViews>
  <sheetFormatPr defaultColWidth="9.00390625" defaultRowHeight="13.5"/>
  <sheetData>
    <row r="2" ht="13.5">
      <c r="A2" t="s">
        <v>128</v>
      </c>
    </row>
    <row r="3" spans="1:3" ht="16.5">
      <c r="A3" s="2" t="s">
        <v>133</v>
      </c>
      <c r="B3">
        <v>3</v>
      </c>
      <c r="C3" t="s">
        <v>2</v>
      </c>
    </row>
    <row r="5" spans="1:4" ht="16.5">
      <c r="A5" t="s">
        <v>129</v>
      </c>
      <c r="B5" t="s">
        <v>130</v>
      </c>
      <c r="C5" t="s">
        <v>131</v>
      </c>
      <c r="D5" t="s">
        <v>132</v>
      </c>
    </row>
    <row r="6" spans="1:4" ht="13.5">
      <c r="A6">
        <v>0</v>
      </c>
      <c r="B6" s="118">
        <f>Xδδ*'係数計算例'!A6^2</f>
        <v>0</v>
      </c>
      <c r="C6" s="118">
        <f aca="true" t="shared" si="0" ref="C6:C11">B6*rhow*Ａ*$B$3^2/2</f>
        <v>0</v>
      </c>
      <c r="D6" s="118">
        <f aca="true" t="shared" si="1" ref="D6:D11">C6/9.8</f>
        <v>0</v>
      </c>
    </row>
    <row r="7" spans="1:4" ht="13.5">
      <c r="A7">
        <v>2</v>
      </c>
      <c r="B7" s="118">
        <f>Xδδ*'係数計算例'!A7^2</f>
        <v>-0.00048</v>
      </c>
      <c r="C7" s="118">
        <f t="shared" si="0"/>
        <v>-2.156436</v>
      </c>
      <c r="D7" s="118">
        <f t="shared" si="1"/>
        <v>-0.22004448979591834</v>
      </c>
    </row>
    <row r="8" spans="1:4" ht="13.5">
      <c r="A8">
        <v>4</v>
      </c>
      <c r="B8" s="118">
        <f>Xδδ*'係数計算例'!A8^2</f>
        <v>-0.00192</v>
      </c>
      <c r="C8" s="118">
        <f t="shared" si="0"/>
        <v>-8.625744</v>
      </c>
      <c r="D8" s="118">
        <f t="shared" si="1"/>
        <v>-0.8801779591836734</v>
      </c>
    </row>
    <row r="9" spans="1:4" ht="13.5">
      <c r="A9">
        <v>6</v>
      </c>
      <c r="B9" s="118">
        <f>Xδδ*'係数計算例'!A9^2</f>
        <v>-0.00432</v>
      </c>
      <c r="C9" s="118">
        <f t="shared" si="0"/>
        <v>-19.407923999999998</v>
      </c>
      <c r="D9" s="118">
        <f t="shared" si="1"/>
        <v>-1.980400408163265</v>
      </c>
    </row>
    <row r="10" spans="1:4" ht="13.5">
      <c r="A10">
        <v>8</v>
      </c>
      <c r="B10" s="118">
        <f>Xδδ*'係数計算例'!A10^2</f>
        <v>-0.00768</v>
      </c>
      <c r="C10" s="118">
        <f t="shared" si="0"/>
        <v>-34.502976</v>
      </c>
      <c r="D10" s="118">
        <f t="shared" si="1"/>
        <v>-3.5207118367346935</v>
      </c>
    </row>
    <row r="11" spans="1:4" ht="13.5">
      <c r="A11">
        <v>10</v>
      </c>
      <c r="B11" s="118">
        <f>Xδδ*'係数計算例'!A11^2</f>
        <v>-0.012</v>
      </c>
      <c r="C11" s="118">
        <f t="shared" si="0"/>
        <v>-53.9109</v>
      </c>
      <c r="D11" s="118">
        <f t="shared" si="1"/>
        <v>-5.501112244897959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豊</dc:creator>
  <cp:keywords/>
  <dc:description/>
  <cp:lastModifiedBy>増山研究室</cp:lastModifiedBy>
  <cp:lastPrinted>2006-01-22T08:23:06Z</cp:lastPrinted>
  <dcterms:created xsi:type="dcterms:W3CDTF">2001-09-22T23:57:11Z</dcterms:created>
  <dcterms:modified xsi:type="dcterms:W3CDTF">2007-05-02T03:36:02Z</dcterms:modified>
  <cp:category/>
  <cp:version/>
  <cp:contentType/>
  <cp:contentStatus/>
</cp:coreProperties>
</file>